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YCLO CROSS NOVEMBRE 2018\"/>
    </mc:Choice>
  </mc:AlternateContent>
  <xr:revisionPtr revIDLastSave="0" documentId="13_ncr:1_{8CAD77DE-6372-418D-AC86-C127716E9CE6}" xr6:coauthVersionLast="38" xr6:coauthVersionMax="38" xr10:uidLastSave="{00000000-0000-0000-0000-000000000000}"/>
  <bookViews>
    <workbookView xWindow="0" yWindow="0" windowWidth="24000" windowHeight="9525" xr2:uid="{5C449558-D428-4963-BFC1-5159724419F2}"/>
  </bookViews>
  <sheets>
    <sheet name="Feuil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" i="1" l="1"/>
  <c r="G98" i="1"/>
  <c r="F98" i="1"/>
  <c r="D98" i="1"/>
  <c r="A98" i="1"/>
  <c r="H97" i="1"/>
  <c r="G97" i="1"/>
  <c r="F97" i="1"/>
  <c r="D97" i="1"/>
  <c r="A97" i="1"/>
  <c r="H96" i="1"/>
  <c r="G96" i="1"/>
  <c r="F96" i="1"/>
  <c r="D96" i="1"/>
  <c r="A96" i="1"/>
  <c r="H95" i="1"/>
  <c r="G95" i="1"/>
  <c r="F95" i="1"/>
  <c r="D95" i="1"/>
  <c r="A95" i="1"/>
  <c r="H94" i="1"/>
  <c r="G94" i="1"/>
  <c r="F94" i="1"/>
  <c r="D94" i="1"/>
  <c r="A94" i="1"/>
  <c r="H93" i="1"/>
  <c r="G93" i="1"/>
  <c r="F93" i="1"/>
  <c r="D93" i="1"/>
  <c r="A93" i="1"/>
  <c r="H92" i="1"/>
  <c r="G92" i="1"/>
  <c r="F92" i="1"/>
  <c r="D92" i="1"/>
  <c r="A92" i="1"/>
  <c r="H91" i="1"/>
  <c r="G91" i="1"/>
  <c r="F91" i="1"/>
  <c r="D91" i="1"/>
  <c r="A91" i="1"/>
  <c r="H90" i="1"/>
  <c r="G90" i="1"/>
  <c r="F90" i="1"/>
  <c r="D90" i="1"/>
  <c r="A90" i="1"/>
  <c r="H89" i="1"/>
  <c r="G89" i="1"/>
  <c r="F89" i="1"/>
  <c r="D89" i="1"/>
  <c r="A89" i="1"/>
  <c r="H88" i="1"/>
  <c r="G88" i="1"/>
  <c r="F88" i="1"/>
  <c r="D88" i="1"/>
  <c r="A88" i="1"/>
  <c r="H87" i="1"/>
  <c r="G87" i="1"/>
  <c r="F87" i="1"/>
  <c r="D87" i="1"/>
  <c r="A87" i="1"/>
  <c r="H86" i="1"/>
  <c r="G86" i="1"/>
  <c r="F86" i="1"/>
  <c r="D86" i="1"/>
  <c r="A86" i="1"/>
  <c r="H85" i="1"/>
  <c r="G85" i="1"/>
  <c r="F85" i="1"/>
  <c r="D85" i="1"/>
  <c r="A85" i="1"/>
  <c r="H84" i="1"/>
  <c r="G84" i="1"/>
  <c r="F84" i="1"/>
  <c r="D84" i="1"/>
  <c r="A84" i="1"/>
  <c r="H83" i="1"/>
  <c r="G83" i="1"/>
  <c r="F83" i="1"/>
  <c r="D83" i="1"/>
  <c r="A83" i="1"/>
  <c r="H82" i="1"/>
  <c r="G82" i="1"/>
  <c r="F82" i="1"/>
  <c r="D82" i="1"/>
  <c r="A82" i="1"/>
  <c r="H81" i="1"/>
  <c r="G81" i="1"/>
  <c r="F81" i="1"/>
  <c r="D81" i="1"/>
  <c r="A81" i="1"/>
  <c r="H80" i="1"/>
  <c r="G80" i="1"/>
  <c r="F80" i="1"/>
  <c r="D80" i="1"/>
  <c r="A80" i="1"/>
  <c r="H79" i="1"/>
  <c r="G79" i="1"/>
  <c r="F79" i="1"/>
  <c r="D79" i="1"/>
  <c r="A79" i="1"/>
  <c r="H78" i="1"/>
  <c r="G78" i="1"/>
  <c r="F78" i="1"/>
  <c r="D78" i="1"/>
  <c r="A78" i="1"/>
  <c r="H77" i="1"/>
  <c r="G77" i="1"/>
  <c r="F77" i="1"/>
  <c r="D77" i="1"/>
  <c r="A77" i="1"/>
  <c r="I75" i="1"/>
  <c r="G75" i="1"/>
  <c r="C75" i="1"/>
  <c r="G74" i="1"/>
  <c r="C74" i="1"/>
  <c r="H69" i="1"/>
  <c r="G69" i="1"/>
  <c r="F69" i="1"/>
  <c r="D69" i="1"/>
  <c r="A69" i="1"/>
  <c r="H68" i="1"/>
  <c r="G68" i="1"/>
  <c r="F68" i="1"/>
  <c r="D68" i="1"/>
  <c r="A68" i="1"/>
  <c r="I67" i="1"/>
  <c r="I68" i="1" s="1"/>
  <c r="I69" i="1" s="1"/>
  <c r="H67" i="1"/>
  <c r="G67" i="1"/>
  <c r="F67" i="1"/>
  <c r="D67" i="1"/>
  <c r="A67" i="1"/>
  <c r="H66" i="1"/>
  <c r="G66" i="1"/>
  <c r="F66" i="1"/>
  <c r="D66" i="1"/>
  <c r="A66" i="1"/>
  <c r="H65" i="1"/>
  <c r="G65" i="1"/>
  <c r="F65" i="1"/>
  <c r="D65" i="1"/>
  <c r="A65" i="1"/>
  <c r="H64" i="1"/>
  <c r="G64" i="1"/>
  <c r="F64" i="1"/>
  <c r="D64" i="1"/>
  <c r="A64" i="1"/>
  <c r="H63" i="1"/>
  <c r="G63" i="1"/>
  <c r="F63" i="1"/>
  <c r="D63" i="1"/>
  <c r="A63" i="1"/>
  <c r="H62" i="1"/>
  <c r="G62" i="1"/>
  <c r="F62" i="1"/>
  <c r="D62" i="1"/>
  <c r="A62" i="1"/>
  <c r="H61" i="1"/>
  <c r="G61" i="1"/>
  <c r="F61" i="1"/>
  <c r="D61" i="1"/>
  <c r="A61" i="1"/>
  <c r="I59" i="1"/>
  <c r="G59" i="1"/>
  <c r="C59" i="1"/>
  <c r="G58" i="1"/>
  <c r="C58" i="1"/>
  <c r="I53" i="1"/>
  <c r="H53" i="1"/>
  <c r="G53" i="1"/>
  <c r="F53" i="1"/>
  <c r="D53" i="1"/>
  <c r="A53" i="1"/>
  <c r="H52" i="1"/>
  <c r="G52" i="1"/>
  <c r="F52" i="1"/>
  <c r="D52" i="1"/>
  <c r="A52" i="1"/>
  <c r="H51" i="1"/>
  <c r="G51" i="1"/>
  <c r="F51" i="1"/>
  <c r="D51" i="1"/>
  <c r="A51" i="1"/>
  <c r="H50" i="1"/>
  <c r="G50" i="1"/>
  <c r="F50" i="1"/>
  <c r="D50" i="1"/>
  <c r="A50" i="1"/>
  <c r="H49" i="1"/>
  <c r="G49" i="1"/>
  <c r="F49" i="1"/>
  <c r="D49" i="1"/>
  <c r="A49" i="1"/>
  <c r="H48" i="1"/>
  <c r="G48" i="1"/>
  <c r="F48" i="1"/>
  <c r="D48" i="1"/>
  <c r="A48" i="1"/>
  <c r="H47" i="1"/>
  <c r="G47" i="1"/>
  <c r="F47" i="1"/>
  <c r="D47" i="1"/>
  <c r="A47" i="1"/>
  <c r="H46" i="1"/>
  <c r="G46" i="1"/>
  <c r="F46" i="1"/>
  <c r="D46" i="1"/>
  <c r="A46" i="1"/>
  <c r="H45" i="1"/>
  <c r="G45" i="1"/>
  <c r="F45" i="1"/>
  <c r="D45" i="1"/>
  <c r="A45" i="1"/>
  <c r="H44" i="1"/>
  <c r="G44" i="1"/>
  <c r="F44" i="1"/>
  <c r="D44" i="1"/>
  <c r="A44" i="1"/>
  <c r="H43" i="1"/>
  <c r="G43" i="1"/>
  <c r="F43" i="1"/>
  <c r="D43" i="1"/>
  <c r="A43" i="1"/>
  <c r="I41" i="1"/>
  <c r="G41" i="1"/>
  <c r="C41" i="1"/>
  <c r="G40" i="1"/>
  <c r="C40" i="1"/>
  <c r="I26" i="1" s="1"/>
  <c r="I35" i="1"/>
  <c r="H35" i="1"/>
  <c r="G35" i="1"/>
  <c r="F35" i="1"/>
  <c r="D35" i="1"/>
  <c r="A35" i="1"/>
  <c r="H34" i="1"/>
  <c r="G34" i="1"/>
  <c r="F34" i="1"/>
  <c r="D34" i="1"/>
  <c r="A34" i="1"/>
  <c r="H33" i="1"/>
  <c r="G33" i="1"/>
  <c r="F33" i="1"/>
  <c r="D33" i="1"/>
  <c r="A33" i="1"/>
  <c r="H32" i="1"/>
  <c r="G32" i="1"/>
  <c r="F32" i="1"/>
  <c r="D32" i="1"/>
  <c r="A32" i="1"/>
  <c r="H31" i="1"/>
  <c r="G31" i="1"/>
  <c r="F31" i="1"/>
  <c r="D31" i="1"/>
  <c r="A31" i="1"/>
  <c r="H30" i="1"/>
  <c r="G30" i="1"/>
  <c r="F30" i="1"/>
  <c r="D30" i="1"/>
  <c r="A30" i="1"/>
  <c r="H29" i="1"/>
  <c r="G29" i="1"/>
  <c r="F29" i="1"/>
  <c r="D29" i="1"/>
  <c r="A29" i="1"/>
  <c r="H28" i="1"/>
  <c r="G28" i="1"/>
  <c r="F28" i="1"/>
  <c r="D28" i="1"/>
  <c r="A28" i="1"/>
  <c r="G26" i="1"/>
  <c r="C26" i="1"/>
  <c r="G25" i="1"/>
  <c r="C25" i="1"/>
  <c r="I20" i="1"/>
  <c r="H20" i="1"/>
  <c r="G20" i="1"/>
  <c r="F20" i="1"/>
  <c r="D20" i="1"/>
  <c r="A20" i="1"/>
  <c r="H19" i="1"/>
  <c r="G19" i="1"/>
  <c r="F19" i="1"/>
  <c r="D19" i="1"/>
  <c r="A19" i="1"/>
  <c r="H18" i="1"/>
  <c r="G18" i="1"/>
  <c r="F18" i="1"/>
  <c r="D18" i="1"/>
  <c r="A18" i="1"/>
  <c r="H17" i="1"/>
  <c r="G17" i="1"/>
  <c r="F17" i="1"/>
  <c r="D17" i="1"/>
  <c r="A17" i="1"/>
  <c r="H16" i="1"/>
  <c r="G16" i="1"/>
  <c r="F16" i="1"/>
  <c r="D16" i="1"/>
  <c r="A16" i="1"/>
  <c r="G14" i="1"/>
  <c r="C14" i="1"/>
  <c r="G13" i="1"/>
  <c r="C13" i="1"/>
  <c r="H7" i="1"/>
  <c r="G7" i="1"/>
  <c r="F7" i="1"/>
  <c r="D7" i="1"/>
  <c r="A7" i="1"/>
  <c r="H6" i="1"/>
  <c r="G6" i="1"/>
  <c r="F6" i="1"/>
  <c r="D6" i="1"/>
  <c r="A6" i="1"/>
  <c r="H5" i="1"/>
  <c r="G5" i="1"/>
  <c r="F5" i="1"/>
  <c r="D5" i="1"/>
  <c r="A5" i="1"/>
  <c r="H4" i="1"/>
  <c r="G4" i="1"/>
  <c r="F4" i="1"/>
  <c r="D4" i="1"/>
  <c r="A4" i="1"/>
  <c r="G2" i="1"/>
  <c r="C2" i="1"/>
  <c r="G1" i="1"/>
  <c r="C1" i="1"/>
  <c r="I2" i="1" l="1"/>
  <c r="I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</author>
  </authors>
  <commentList>
    <comment ref="I3" authorId="0" shapeId="0" xr:uid="{25A408A8-64F1-4E16-B0D6-102EA4B8D5AE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 xr:uid="{0569E5F6-A7C1-48B6-B64D-8EFB4134F428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0" shapeId="0" xr:uid="{135A3481-C199-4B1F-A47F-CF05D8F7C42C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2" authorId="0" shapeId="0" xr:uid="{F363924B-5B7E-4A8E-97F6-0C0F5968BA05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0" authorId="0" shapeId="0" xr:uid="{FD8E3433-9535-4255-BAD9-9D9BDF8E36ED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6" authorId="0" shapeId="0" xr:uid="{362DCBB7-B695-47E1-9F63-B512E006C955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<sst xmlns="http://schemas.openxmlformats.org/spreadsheetml/2006/main" count="125" uniqueCount="51">
  <si>
    <t>COURSE</t>
  </si>
  <si>
    <t>CATEGORIE</t>
  </si>
  <si>
    <t>PARTANTS</t>
  </si>
  <si>
    <t>CLASSES</t>
  </si>
  <si>
    <t>Pts
 PE</t>
  </si>
  <si>
    <t>Place</t>
  </si>
  <si>
    <t>Doss</t>
  </si>
  <si>
    <t>NOM et PRENOM</t>
  </si>
  <si>
    <t>ASSOCIATION</t>
  </si>
  <si>
    <t>N° LICENCE</t>
  </si>
  <si>
    <t>CAT.</t>
  </si>
  <si>
    <t>TEMPS</t>
  </si>
  <si>
    <t>12'31</t>
  </si>
  <si>
    <t>13'13</t>
  </si>
  <si>
    <t>14'21</t>
  </si>
  <si>
    <t>1TOUR</t>
  </si>
  <si>
    <t>15'21</t>
  </si>
  <si>
    <t>15'45</t>
  </si>
  <si>
    <t>16'23</t>
  </si>
  <si>
    <t>1T</t>
  </si>
  <si>
    <t>20'22</t>
  </si>
  <si>
    <t>20'36</t>
  </si>
  <si>
    <t>20'51</t>
  </si>
  <si>
    <t>20'52</t>
  </si>
  <si>
    <t>21'44</t>
  </si>
  <si>
    <t>21'53</t>
  </si>
  <si>
    <t>29'52</t>
  </si>
  <si>
    <t>30'51</t>
  </si>
  <si>
    <t>32'12</t>
  </si>
  <si>
    <t>32'59</t>
  </si>
  <si>
    <t>33'01</t>
  </si>
  <si>
    <t>33'04</t>
  </si>
  <si>
    <t>33'58</t>
  </si>
  <si>
    <t>34'27</t>
  </si>
  <si>
    <t>34'51</t>
  </si>
  <si>
    <t>42'03</t>
  </si>
  <si>
    <t>42'19</t>
  </si>
  <si>
    <t>42'52</t>
  </si>
  <si>
    <t>43'30</t>
  </si>
  <si>
    <t>44'42</t>
  </si>
  <si>
    <t>53'12</t>
  </si>
  <si>
    <t>54'21</t>
  </si>
  <si>
    <t>54'49</t>
  </si>
  <si>
    <t>55'06</t>
  </si>
  <si>
    <t>55'25</t>
  </si>
  <si>
    <t>55'52</t>
  </si>
  <si>
    <t>55'43</t>
  </si>
  <si>
    <t>57'48</t>
  </si>
  <si>
    <t>58'02</t>
  </si>
  <si>
    <t>58'17</t>
  </si>
  <si>
    <t>1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</si>
</sst>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;@"/>
    <numFmt numFmtId="165" formatCode="[h]\.mm\.ss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</font>
    <font>
      <sz val="10"/>
      <name val="Arial"/>
      <family val="2"/>
    </font>
    <font>
      <b/>
      <sz val="8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1" fillId="0" borderId="0" xfId="0" applyNumberFormat="1" applyFont="1" applyFill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GESTION%20EPREUVE%20PUP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GESTION%20EPREUVE%20BENJAMI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GESTION%20EPREUVE%20MINIM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GESTION%20EPREUVE%20CAD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GESTION%20EPREUVE%20JUNIO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GESTION%20EPREUVE%20SENI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2">
          <cell r="D2" t="str">
            <v>GOND PONTOUVRE</v>
          </cell>
          <cell r="G2">
            <v>16</v>
          </cell>
        </row>
        <row r="4">
          <cell r="D4">
            <v>43421</v>
          </cell>
        </row>
        <row r="5">
          <cell r="D5" t="str">
            <v>PUPILLE</v>
          </cell>
        </row>
        <row r="8">
          <cell r="F8">
            <v>4</v>
          </cell>
        </row>
        <row r="12">
          <cell r="A12">
            <v>25</v>
          </cell>
          <cell r="B12" t="str">
            <v>X</v>
          </cell>
          <cell r="C12" t="str">
            <v>MARELLI BALANDIER GABIN</v>
          </cell>
          <cell r="E12" t="str">
            <v>UA LA ROCHEFOUCAULD</v>
          </cell>
          <cell r="F12" t="str">
            <v>PUPILLE</v>
          </cell>
          <cell r="G12" t="str">
            <v>50160150143</v>
          </cell>
        </row>
        <row r="13">
          <cell r="A13">
            <v>26</v>
          </cell>
        </row>
        <row r="14">
          <cell r="A14">
            <v>27</v>
          </cell>
          <cell r="B14" t="str">
            <v>X</v>
          </cell>
          <cell r="C14" t="str">
            <v>ESPERON ANGELO</v>
          </cell>
          <cell r="E14" t="str">
            <v>UC MONTPON</v>
          </cell>
          <cell r="F14" t="str">
            <v>PUPILLE</v>
          </cell>
          <cell r="G14" t="str">
            <v>50242680054</v>
          </cell>
        </row>
        <row r="15">
          <cell r="A15">
            <v>28</v>
          </cell>
          <cell r="B15" t="str">
            <v>X</v>
          </cell>
          <cell r="C15" t="str">
            <v>FAURE SEBASTIEN</v>
          </cell>
          <cell r="E15" t="str">
            <v>AC MACQUEVILLE</v>
          </cell>
          <cell r="F15" t="str">
            <v>PUPILLE</v>
          </cell>
          <cell r="G15" t="str">
            <v>50172170071</v>
          </cell>
        </row>
        <row r="16">
          <cell r="A16">
            <v>29</v>
          </cell>
          <cell r="B16" t="str">
            <v>X</v>
          </cell>
          <cell r="C16" t="str">
            <v>ZINTCHOUK ALEXANDRE</v>
          </cell>
          <cell r="E16" t="str">
            <v>UC MONTPON</v>
          </cell>
          <cell r="F16" t="str">
            <v>PUPILLE</v>
          </cell>
          <cell r="G16" t="str">
            <v>50242680068</v>
          </cell>
        </row>
        <row r="17">
          <cell r="A17">
            <v>30</v>
          </cell>
        </row>
        <row r="18">
          <cell r="A18">
            <v>31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39</v>
          </cell>
        </row>
        <row r="27">
          <cell r="A27">
            <v>40</v>
          </cell>
        </row>
        <row r="28">
          <cell r="A28">
            <v>41</v>
          </cell>
        </row>
        <row r="29">
          <cell r="A29">
            <v>42</v>
          </cell>
        </row>
        <row r="30">
          <cell r="A30">
            <v>43</v>
          </cell>
        </row>
        <row r="31">
          <cell r="A31">
            <v>44</v>
          </cell>
        </row>
        <row r="32">
          <cell r="A32">
            <v>45</v>
          </cell>
        </row>
        <row r="33">
          <cell r="A33">
            <v>46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>
            <v>43421</v>
          </cell>
        </row>
        <row r="12">
          <cell r="A12">
            <v>1</v>
          </cell>
          <cell r="B12" t="str">
            <v>X</v>
          </cell>
          <cell r="C12" t="str">
            <v>GAUTHIER GABIN</v>
          </cell>
          <cell r="E12" t="str">
            <v>UA LA ROCHRFOUCAULD</v>
          </cell>
          <cell r="F12" t="str">
            <v>BEN</v>
          </cell>
          <cell r="G12" t="str">
            <v>50160150039</v>
          </cell>
        </row>
        <row r="13">
          <cell r="A13">
            <v>2</v>
          </cell>
          <cell r="C13" t="str">
            <v>GARNIER NOLANN</v>
          </cell>
          <cell r="E13" t="str">
            <v>V NAINTRE</v>
          </cell>
          <cell r="F13" t="str">
            <v>BEN</v>
          </cell>
          <cell r="G13" t="str">
            <v>50860680039</v>
          </cell>
        </row>
        <row r="14">
          <cell r="A14">
            <v>3</v>
          </cell>
          <cell r="B14" t="str">
            <v>X</v>
          </cell>
          <cell r="C14" t="str">
            <v>GERDIL TESSA</v>
          </cell>
          <cell r="E14" t="str">
            <v>TC CHATEAUBERNARD</v>
          </cell>
          <cell r="F14" t="str">
            <v>BEN F</v>
          </cell>
          <cell r="G14" t="str">
            <v>50162050090</v>
          </cell>
        </row>
        <row r="15">
          <cell r="A15">
            <v>4</v>
          </cell>
          <cell r="B15" t="str">
            <v>X</v>
          </cell>
          <cell r="C15" t="str">
            <v>JOBIT KILIAN</v>
          </cell>
          <cell r="E15" t="str">
            <v>TC CHATEAUBERNARD</v>
          </cell>
          <cell r="F15" t="str">
            <v>BEN</v>
          </cell>
          <cell r="G15" t="str">
            <v>50162050072</v>
          </cell>
        </row>
        <row r="16">
          <cell r="A16">
            <v>5</v>
          </cell>
          <cell r="B16" t="str">
            <v>X</v>
          </cell>
          <cell r="C16" t="str">
            <v>BERNARD MARIN</v>
          </cell>
          <cell r="E16" t="str">
            <v>UA LA ROCHRFOUCAULD</v>
          </cell>
          <cell r="F16" t="str">
            <v>BEN</v>
          </cell>
          <cell r="G16" t="str">
            <v>50160150098</v>
          </cell>
        </row>
        <row r="17">
          <cell r="A17">
            <v>6</v>
          </cell>
          <cell r="B17" t="str">
            <v>X</v>
          </cell>
          <cell r="C17" t="str">
            <v>CRON ELI</v>
          </cell>
          <cell r="E17" t="str">
            <v>UV ANGERIENNE</v>
          </cell>
          <cell r="F17" t="str">
            <v>BEN</v>
          </cell>
          <cell r="G17" t="str">
            <v>50170530147</v>
          </cell>
        </row>
        <row r="18">
          <cell r="A18">
            <v>7</v>
          </cell>
          <cell r="C18" t="str">
            <v>BATY GASPARD</v>
          </cell>
          <cell r="E18" t="str">
            <v>CC VERVANT</v>
          </cell>
          <cell r="F18" t="str">
            <v>BEN</v>
          </cell>
          <cell r="G18" t="str">
            <v>50172170071</v>
          </cell>
        </row>
        <row r="19">
          <cell r="A19">
            <v>8</v>
          </cell>
        </row>
        <row r="20">
          <cell r="A20">
            <v>9</v>
          </cell>
        </row>
        <row r="21">
          <cell r="A21">
            <v>10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>
            <v>43421</v>
          </cell>
        </row>
        <row r="12">
          <cell r="A12">
            <v>51</v>
          </cell>
          <cell r="B12" t="str">
            <v>X</v>
          </cell>
          <cell r="C12" t="str">
            <v>SARRAZIN ARNAUD</v>
          </cell>
          <cell r="E12" t="str">
            <v>AL GOND PONTOUVRE</v>
          </cell>
          <cell r="F12" t="str">
            <v>MINIME</v>
          </cell>
          <cell r="G12" t="str">
            <v>50161640001</v>
          </cell>
        </row>
        <row r="13">
          <cell r="A13">
            <v>52</v>
          </cell>
          <cell r="B13" t="str">
            <v>X</v>
          </cell>
          <cell r="C13" t="str">
            <v>GAUTHIER CHARLYNE</v>
          </cell>
          <cell r="E13" t="str">
            <v>UA LA ROCHEFOUCAULD</v>
          </cell>
          <cell r="F13" t="str">
            <v>MINIME F</v>
          </cell>
          <cell r="G13" t="str">
            <v>50160150052</v>
          </cell>
        </row>
        <row r="14">
          <cell r="A14">
            <v>53</v>
          </cell>
          <cell r="B14" t="str">
            <v>X</v>
          </cell>
          <cell r="C14" t="str">
            <v>MARELLI BALANDIER TOM</v>
          </cell>
          <cell r="E14" t="str">
            <v>UA LA ROCHEFOUCAULD</v>
          </cell>
          <cell r="F14" t="str">
            <v>MINIME</v>
          </cell>
          <cell r="G14" t="str">
            <v>50160150156</v>
          </cell>
        </row>
        <row r="15">
          <cell r="A15">
            <v>54</v>
          </cell>
          <cell r="B15" t="str">
            <v>X</v>
          </cell>
          <cell r="C15" t="str">
            <v>TRANQUARD QUENTIN</v>
          </cell>
          <cell r="E15" t="str">
            <v>VC ROCHRFORT</v>
          </cell>
          <cell r="F15" t="str">
            <v>MINIME</v>
          </cell>
          <cell r="G15" t="str">
            <v>50170450075</v>
          </cell>
        </row>
        <row r="16">
          <cell r="A16">
            <v>55</v>
          </cell>
          <cell r="B16" t="str">
            <v>X</v>
          </cell>
          <cell r="C16" t="str">
            <v>JOBIT YANIS</v>
          </cell>
          <cell r="E16" t="str">
            <v>TC CHATEAUBERNARD</v>
          </cell>
          <cell r="F16" t="str">
            <v>MINIME</v>
          </cell>
          <cell r="G16" t="str">
            <v>50162050071</v>
          </cell>
        </row>
        <row r="17">
          <cell r="A17">
            <v>56</v>
          </cell>
          <cell r="B17" t="str">
            <v>X</v>
          </cell>
          <cell r="C17" t="str">
            <v>HIBBERD HENRY</v>
          </cell>
          <cell r="E17" t="str">
            <v>CC VERVANT</v>
          </cell>
          <cell r="F17" t="str">
            <v>MINIME</v>
          </cell>
          <cell r="G17" t="str">
            <v>50170790035</v>
          </cell>
        </row>
        <row r="18">
          <cell r="A18">
            <v>57</v>
          </cell>
          <cell r="B18" t="str">
            <v>X</v>
          </cell>
          <cell r="C18" t="str">
            <v>DEVILLE WELTERSBACK ERWAN</v>
          </cell>
          <cell r="E18" t="str">
            <v>AC MACQUEVILLOIS</v>
          </cell>
          <cell r="F18" t="str">
            <v>MINIME</v>
          </cell>
          <cell r="G18" t="str">
            <v>50172170047</v>
          </cell>
        </row>
        <row r="19">
          <cell r="A19">
            <v>58</v>
          </cell>
          <cell r="B19" t="str">
            <v>X</v>
          </cell>
          <cell r="C19" t="str">
            <v>BONNIN NOEMIE</v>
          </cell>
          <cell r="E19" t="str">
            <v>LA ROCHE SUR YON VENDEE</v>
          </cell>
          <cell r="F19" t="str">
            <v>MINIME F</v>
          </cell>
          <cell r="G19" t="str">
            <v>52850640661</v>
          </cell>
        </row>
        <row r="20">
          <cell r="A20">
            <v>59</v>
          </cell>
        </row>
        <row r="21">
          <cell r="A21">
            <v>60</v>
          </cell>
        </row>
        <row r="22">
          <cell r="A22">
            <v>61</v>
          </cell>
        </row>
        <row r="23">
          <cell r="A23">
            <v>62</v>
          </cell>
        </row>
        <row r="24">
          <cell r="A24">
            <v>63</v>
          </cell>
        </row>
        <row r="25">
          <cell r="A25">
            <v>64</v>
          </cell>
        </row>
        <row r="26">
          <cell r="A26">
            <v>65</v>
          </cell>
        </row>
        <row r="27">
          <cell r="A27">
            <v>66</v>
          </cell>
        </row>
        <row r="28">
          <cell r="A28">
            <v>67</v>
          </cell>
        </row>
        <row r="29">
          <cell r="A29">
            <v>68</v>
          </cell>
        </row>
        <row r="30">
          <cell r="A30">
            <v>69</v>
          </cell>
        </row>
        <row r="31">
          <cell r="A31">
            <v>70</v>
          </cell>
        </row>
        <row r="32">
          <cell r="A32">
            <v>71</v>
          </cell>
        </row>
        <row r="33">
          <cell r="A33">
            <v>72</v>
          </cell>
        </row>
        <row r="34">
          <cell r="A34">
            <v>73</v>
          </cell>
        </row>
        <row r="35">
          <cell r="A35">
            <v>74</v>
          </cell>
        </row>
        <row r="36">
          <cell r="A36">
            <v>75</v>
          </cell>
        </row>
        <row r="37">
          <cell r="A37">
            <v>76</v>
          </cell>
        </row>
        <row r="38">
          <cell r="A38">
            <v>77</v>
          </cell>
        </row>
        <row r="39">
          <cell r="A39">
            <v>78</v>
          </cell>
        </row>
        <row r="40">
          <cell r="A40">
            <v>79</v>
          </cell>
        </row>
        <row r="41">
          <cell r="A41">
            <v>80</v>
          </cell>
        </row>
        <row r="42">
          <cell r="A42">
            <v>81</v>
          </cell>
        </row>
        <row r="43">
          <cell r="A43">
            <v>82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>
            <v>43421</v>
          </cell>
        </row>
        <row r="12">
          <cell r="A12">
            <v>25</v>
          </cell>
          <cell r="B12" t="str">
            <v>X</v>
          </cell>
          <cell r="C12" t="str">
            <v>BONNIN MATHEO</v>
          </cell>
          <cell r="E12" t="str">
            <v>CC VERVANT</v>
          </cell>
          <cell r="F12" t="str">
            <v>CADET</v>
          </cell>
          <cell r="G12" t="str">
            <v>50170790001</v>
          </cell>
        </row>
        <row r="13">
          <cell r="A13">
            <v>26</v>
          </cell>
          <cell r="B13" t="str">
            <v>X</v>
          </cell>
          <cell r="C13" t="str">
            <v>MASOCH MARIUS</v>
          </cell>
          <cell r="E13" t="str">
            <v>UA LA ROCHEFOUCAULD</v>
          </cell>
          <cell r="F13" t="str">
            <v>CADET</v>
          </cell>
          <cell r="G13" t="str">
            <v>50160150054</v>
          </cell>
        </row>
        <row r="14">
          <cell r="A14">
            <v>27</v>
          </cell>
          <cell r="B14" t="str">
            <v>X</v>
          </cell>
          <cell r="C14" t="str">
            <v>MARELLI BALANDIER LUCAS</v>
          </cell>
          <cell r="E14" t="str">
            <v>UA LA ROCHEFOUCAULD</v>
          </cell>
          <cell r="F14" t="str">
            <v>CADET</v>
          </cell>
          <cell r="G14" t="str">
            <v>50160150160</v>
          </cell>
        </row>
        <row r="15">
          <cell r="A15">
            <v>28</v>
          </cell>
          <cell r="B15" t="str">
            <v>X</v>
          </cell>
          <cell r="C15" t="str">
            <v>HUCTEAU VICTOR</v>
          </cell>
          <cell r="E15" t="str">
            <v>ANGOULEME VELO CLUB</v>
          </cell>
          <cell r="F15" t="str">
            <v>CADET</v>
          </cell>
          <cell r="G15" t="str">
            <v>50161860160</v>
          </cell>
        </row>
        <row r="16">
          <cell r="A16">
            <v>29</v>
          </cell>
          <cell r="C16" t="str">
            <v>DEGNATI ENZO</v>
          </cell>
          <cell r="E16" t="str">
            <v>EVCC BERGERAC</v>
          </cell>
          <cell r="F16" t="str">
            <v>CADET</v>
          </cell>
          <cell r="G16" t="str">
            <v>50242600172</v>
          </cell>
        </row>
        <row r="17">
          <cell r="A17">
            <v>30</v>
          </cell>
          <cell r="B17" t="str">
            <v>X</v>
          </cell>
          <cell r="C17" t="str">
            <v>BESSON MAXENCE</v>
          </cell>
          <cell r="E17" t="str">
            <v>GUIDON MANSLOIS</v>
          </cell>
          <cell r="F17" t="str">
            <v>CADET</v>
          </cell>
          <cell r="G17" t="str">
            <v>50160120116</v>
          </cell>
        </row>
        <row r="18">
          <cell r="A18">
            <v>31</v>
          </cell>
          <cell r="B18" t="str">
            <v>X</v>
          </cell>
          <cell r="C18" t="str">
            <v>GAILLARD GUILLAUME</v>
          </cell>
          <cell r="E18" t="str">
            <v>GUIDON MANSLOIS</v>
          </cell>
          <cell r="F18" t="str">
            <v>CADET</v>
          </cell>
          <cell r="G18" t="str">
            <v>50160120043</v>
          </cell>
        </row>
        <row r="19">
          <cell r="A19">
            <v>32</v>
          </cell>
          <cell r="B19" t="str">
            <v>X</v>
          </cell>
          <cell r="C19" t="str">
            <v>PHILIPPON THOMAS</v>
          </cell>
          <cell r="E19" t="str">
            <v>GUIDON MANSLOIS</v>
          </cell>
          <cell r="F19" t="str">
            <v>CADET</v>
          </cell>
          <cell r="G19" t="str">
            <v>50160120081</v>
          </cell>
        </row>
        <row r="20">
          <cell r="A20">
            <v>33</v>
          </cell>
          <cell r="B20" t="str">
            <v>X</v>
          </cell>
          <cell r="C20" t="str">
            <v>ESPERON FLORIAN</v>
          </cell>
          <cell r="E20" t="str">
            <v>UC MONTPON</v>
          </cell>
          <cell r="F20" t="str">
            <v>CADET</v>
          </cell>
          <cell r="G20" t="str">
            <v>50242680053</v>
          </cell>
        </row>
        <row r="21">
          <cell r="A21">
            <v>34</v>
          </cell>
          <cell r="B21" t="str">
            <v>X</v>
          </cell>
          <cell r="C21" t="str">
            <v>POTET FABIEN</v>
          </cell>
          <cell r="E21" t="str">
            <v>CA CIVRAY</v>
          </cell>
          <cell r="F21" t="str">
            <v>CADET</v>
          </cell>
          <cell r="G21" t="str">
            <v>50860630127</v>
          </cell>
        </row>
        <row r="22">
          <cell r="A22">
            <v>35</v>
          </cell>
          <cell r="B22" t="str">
            <v>X</v>
          </cell>
          <cell r="C22" t="str">
            <v>SEGUIN YANNIS</v>
          </cell>
          <cell r="E22" t="str">
            <v>ANGOULEME VELO CLUB</v>
          </cell>
          <cell r="F22" t="str">
            <v>CADET</v>
          </cell>
          <cell r="G22" t="str">
            <v>50161860055</v>
          </cell>
        </row>
        <row r="23">
          <cell r="A23">
            <v>36</v>
          </cell>
          <cell r="B23" t="str">
            <v>X</v>
          </cell>
          <cell r="C23" t="str">
            <v>VERDOUX ZORZOLI MATHIAS</v>
          </cell>
          <cell r="E23" t="str">
            <v>CO COURONNAIS</v>
          </cell>
          <cell r="F23" t="str">
            <v>CADET</v>
          </cell>
          <cell r="G23" t="str">
            <v>50160100070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39</v>
          </cell>
        </row>
        <row r="27">
          <cell r="A27">
            <v>40</v>
          </cell>
        </row>
        <row r="28">
          <cell r="A28">
            <v>41</v>
          </cell>
        </row>
        <row r="29">
          <cell r="A29">
            <v>42</v>
          </cell>
        </row>
        <row r="30">
          <cell r="A30">
            <v>43</v>
          </cell>
        </row>
        <row r="31">
          <cell r="A31">
            <v>44</v>
          </cell>
        </row>
        <row r="32">
          <cell r="A32">
            <v>45</v>
          </cell>
        </row>
        <row r="33">
          <cell r="A33">
            <v>46</v>
          </cell>
        </row>
        <row r="34">
          <cell r="A34">
            <v>47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>
            <v>43421</v>
          </cell>
        </row>
        <row r="12">
          <cell r="A12">
            <v>1</v>
          </cell>
          <cell r="B12" t="str">
            <v>X</v>
          </cell>
          <cell r="C12" t="str">
            <v>GAUTHIER ELIAN</v>
          </cell>
          <cell r="E12" t="str">
            <v>UA LA ROCHEFOUCAULD</v>
          </cell>
          <cell r="F12" t="str">
            <v>JUNIOR</v>
          </cell>
          <cell r="G12" t="str">
            <v>50160150025</v>
          </cell>
        </row>
        <row r="13">
          <cell r="A13">
            <v>2</v>
          </cell>
          <cell r="B13" t="str">
            <v>X</v>
          </cell>
          <cell r="C13" t="str">
            <v>GAILLARD MATHEO</v>
          </cell>
          <cell r="E13" t="str">
            <v>PSF ST FLORENT</v>
          </cell>
          <cell r="F13" t="str">
            <v>JUNIOR</v>
          </cell>
          <cell r="G13" t="str">
            <v>50790590074</v>
          </cell>
        </row>
        <row r="14">
          <cell r="A14">
            <v>3</v>
          </cell>
          <cell r="B14" t="str">
            <v>X</v>
          </cell>
          <cell r="C14" t="str">
            <v>GAUTHIER EMELINE</v>
          </cell>
          <cell r="E14" t="str">
            <v>UA LA ROCHEFOUCAULD</v>
          </cell>
          <cell r="F14" t="str">
            <v>JUNIOR F</v>
          </cell>
          <cell r="G14" t="str">
            <v>50160150050</v>
          </cell>
        </row>
        <row r="15">
          <cell r="A15">
            <v>4</v>
          </cell>
          <cell r="B15" t="str">
            <v>X</v>
          </cell>
          <cell r="C15" t="str">
            <v>SAPENA ZARAGOSA VALERIE</v>
          </cell>
          <cell r="E15" t="str">
            <v>TC CHATEAUBERNARD</v>
          </cell>
          <cell r="F15" t="str">
            <v>FEMININE</v>
          </cell>
          <cell r="G15" t="str">
            <v>50162050097</v>
          </cell>
        </row>
        <row r="16">
          <cell r="A16">
            <v>5</v>
          </cell>
          <cell r="B16" t="str">
            <v>X</v>
          </cell>
          <cell r="C16" t="str">
            <v>BOISSOU YANNICK</v>
          </cell>
          <cell r="E16" t="str">
            <v>ASPTT VELO BRIVE AGLO</v>
          </cell>
          <cell r="F16" t="str">
            <v>JUNIOR</v>
          </cell>
          <cell r="G16" t="str">
            <v>50190220213</v>
          </cell>
        </row>
        <row r="17">
          <cell r="A17">
            <v>6</v>
          </cell>
          <cell r="B17" t="str">
            <v>X</v>
          </cell>
          <cell r="C17" t="str">
            <v>FAURE PAULINE</v>
          </cell>
          <cell r="E17" t="str">
            <v>AC MACQUEVILLOIS</v>
          </cell>
          <cell r="F17" t="str">
            <v>JUNIOR F</v>
          </cell>
          <cell r="G17" t="str">
            <v>50172170069</v>
          </cell>
        </row>
        <row r="18">
          <cell r="A18">
            <v>7</v>
          </cell>
          <cell r="B18" t="str">
            <v>X</v>
          </cell>
          <cell r="C18" t="str">
            <v>PINEAUX AYMERIC</v>
          </cell>
          <cell r="E18" t="str">
            <v>CO COURONNAIS</v>
          </cell>
          <cell r="F18" t="str">
            <v>JUNIOR</v>
          </cell>
          <cell r="G18" t="str">
            <v>50160100063</v>
          </cell>
        </row>
        <row r="19">
          <cell r="A19">
            <v>8</v>
          </cell>
          <cell r="B19" t="str">
            <v>X</v>
          </cell>
          <cell r="C19" t="str">
            <v>LETELLIER MATHEO</v>
          </cell>
          <cell r="E19" t="str">
            <v>ANGOULEME VELO CLUB</v>
          </cell>
          <cell r="F19" t="str">
            <v>JUNIOR</v>
          </cell>
          <cell r="G19" t="str">
            <v>50161860056</v>
          </cell>
        </row>
        <row r="20">
          <cell r="A20">
            <v>9</v>
          </cell>
          <cell r="B20" t="str">
            <v>X</v>
          </cell>
          <cell r="C20" t="str">
            <v>LEAUD SANDRA</v>
          </cell>
          <cell r="E20" t="str">
            <v>CYCLE POITEVIN</v>
          </cell>
          <cell r="F20" t="str">
            <v>FEMININE</v>
          </cell>
          <cell r="G20" t="str">
            <v>50860700230</v>
          </cell>
        </row>
        <row r="21">
          <cell r="A21">
            <v>10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>
            <v>43421</v>
          </cell>
        </row>
        <row r="12">
          <cell r="A12">
            <v>1</v>
          </cell>
          <cell r="B12" t="str">
            <v>X</v>
          </cell>
          <cell r="C12" t="str">
            <v>GAUTHIER PIERRICK</v>
          </cell>
          <cell r="E12" t="str">
            <v>AL GOND PONTOUVRE</v>
          </cell>
          <cell r="F12" t="str">
            <v xml:space="preserve">SENIOR </v>
          </cell>
          <cell r="G12" t="str">
            <v>50161640027</v>
          </cell>
        </row>
        <row r="13">
          <cell r="A13">
            <v>2</v>
          </cell>
          <cell r="B13" t="str">
            <v>X</v>
          </cell>
          <cell r="C13" t="str">
            <v>SAUSSEAU JACKY</v>
          </cell>
          <cell r="E13" t="str">
            <v>AL GOND PONTOUVRE</v>
          </cell>
          <cell r="F13" t="str">
            <v xml:space="preserve">SENIOR </v>
          </cell>
          <cell r="G13" t="str">
            <v>50161640029</v>
          </cell>
        </row>
        <row r="14">
          <cell r="A14">
            <v>3</v>
          </cell>
          <cell r="B14" t="str">
            <v>X</v>
          </cell>
          <cell r="C14" t="str">
            <v>FUSILLER NICOLAS</v>
          </cell>
          <cell r="E14" t="str">
            <v>TEAM CHATOU CYCLISTE</v>
          </cell>
          <cell r="F14" t="str">
            <v xml:space="preserve">SENIOR </v>
          </cell>
          <cell r="G14" t="str">
            <v>48782120087</v>
          </cell>
        </row>
        <row r="15">
          <cell r="A15">
            <v>4</v>
          </cell>
          <cell r="B15" t="str">
            <v>X</v>
          </cell>
          <cell r="C15" t="str">
            <v>FUSILLER SIMON</v>
          </cell>
          <cell r="E15" t="str">
            <v>GUIDON MANSLOIS</v>
          </cell>
          <cell r="F15" t="str">
            <v>ESPOIR</v>
          </cell>
          <cell r="G15" t="str">
            <v>50160120057</v>
          </cell>
        </row>
        <row r="16">
          <cell r="A16">
            <v>5</v>
          </cell>
          <cell r="B16" t="str">
            <v>X</v>
          </cell>
          <cell r="C16" t="str">
            <v>MAINGUENAUD TOM</v>
          </cell>
          <cell r="E16" t="str">
            <v>ANGOULEME VELO CLUB</v>
          </cell>
          <cell r="F16" t="str">
            <v>ESPOIR</v>
          </cell>
          <cell r="G16" t="str">
            <v>50161860173</v>
          </cell>
        </row>
        <row r="17">
          <cell r="A17">
            <v>6</v>
          </cell>
          <cell r="C17" t="str">
            <v>SAPENA SARAGOZA PATRICE</v>
          </cell>
          <cell r="E17" t="str">
            <v>TC CHATEAUBERNARD</v>
          </cell>
          <cell r="F17" t="str">
            <v xml:space="preserve">SENIOR </v>
          </cell>
          <cell r="G17" t="str">
            <v>50162050096</v>
          </cell>
        </row>
        <row r="18">
          <cell r="A18">
            <v>7</v>
          </cell>
          <cell r="B18" t="str">
            <v>X</v>
          </cell>
          <cell r="C18" t="str">
            <v>BONNIN DAVID</v>
          </cell>
          <cell r="E18" t="str">
            <v>CC VERVANT</v>
          </cell>
          <cell r="F18" t="str">
            <v xml:space="preserve">SENIOR </v>
          </cell>
          <cell r="G18" t="str">
            <v>50170790008</v>
          </cell>
        </row>
        <row r="19">
          <cell r="A19">
            <v>8</v>
          </cell>
          <cell r="B19" t="str">
            <v>X</v>
          </cell>
          <cell r="C19" t="str">
            <v>HIBBERD GEORGES</v>
          </cell>
          <cell r="E19" t="str">
            <v>CC VERVANT</v>
          </cell>
          <cell r="F19" t="str">
            <v>ESPOIR</v>
          </cell>
          <cell r="G19" t="str">
            <v>50170790036</v>
          </cell>
        </row>
        <row r="20">
          <cell r="A20">
            <v>9</v>
          </cell>
          <cell r="B20" t="str">
            <v>X</v>
          </cell>
          <cell r="C20" t="str">
            <v>CHAMINAUD ROMAIN</v>
          </cell>
          <cell r="E20" t="str">
            <v>VC BAZAS BERNOS</v>
          </cell>
          <cell r="F20" t="str">
            <v>ESPOIR</v>
          </cell>
          <cell r="G20" t="str">
            <v>50330150034</v>
          </cell>
        </row>
        <row r="21">
          <cell r="A21">
            <v>10</v>
          </cell>
          <cell r="B21" t="str">
            <v>X</v>
          </cell>
          <cell r="C21" t="str">
            <v>BAUCHAUD ARTHUR</v>
          </cell>
          <cell r="E21" t="str">
            <v>UA LA ROCHEFOUCAULD</v>
          </cell>
          <cell r="F21" t="str">
            <v>ESPOIR</v>
          </cell>
          <cell r="G21" t="str">
            <v>50160150210</v>
          </cell>
        </row>
        <row r="22">
          <cell r="A22">
            <v>11</v>
          </cell>
          <cell r="B22" t="str">
            <v>X</v>
          </cell>
          <cell r="C22" t="str">
            <v>MOUGNEAU STEVEN</v>
          </cell>
          <cell r="E22" t="str">
            <v>VTT MONTAGRIER</v>
          </cell>
          <cell r="F22" t="str">
            <v>ESPOIR</v>
          </cell>
          <cell r="G22" t="str">
            <v>50242750155</v>
          </cell>
        </row>
        <row r="23">
          <cell r="A23">
            <v>12</v>
          </cell>
          <cell r="B23" t="str">
            <v>X</v>
          </cell>
          <cell r="C23" t="str">
            <v>HERBRETEAU LOIC</v>
          </cell>
          <cell r="E23" t="str">
            <v>CC MARMANDAIS</v>
          </cell>
          <cell r="F23" t="str">
            <v>SENIOR</v>
          </cell>
          <cell r="G23" t="str">
            <v>50472070100</v>
          </cell>
        </row>
        <row r="24">
          <cell r="A24">
            <v>13</v>
          </cell>
          <cell r="B24" t="str">
            <v>X</v>
          </cell>
          <cell r="C24" t="str">
            <v>RAMBEAU ALAIN</v>
          </cell>
          <cell r="E24" t="str">
            <v>GUIDON MANSLOIS</v>
          </cell>
          <cell r="F24" t="str">
            <v xml:space="preserve">SENIOR </v>
          </cell>
          <cell r="G24" t="str">
            <v>50160120013</v>
          </cell>
        </row>
        <row r="25">
          <cell r="A25">
            <v>14</v>
          </cell>
          <cell r="B25" t="str">
            <v>X</v>
          </cell>
          <cell r="C25" t="str">
            <v>PAILLOT JULIEN</v>
          </cell>
          <cell r="E25" t="str">
            <v>AC NERSAC</v>
          </cell>
          <cell r="F25" t="str">
            <v xml:space="preserve">SENIOR </v>
          </cell>
          <cell r="G25" t="str">
            <v>50160140012</v>
          </cell>
        </row>
        <row r="26">
          <cell r="A26">
            <v>15</v>
          </cell>
          <cell r="B26" t="str">
            <v>X</v>
          </cell>
          <cell r="C26" t="str">
            <v>LABROUSSE CHRISTIAN</v>
          </cell>
          <cell r="E26" t="str">
            <v>TEAM CYCLISTE SUPER U</v>
          </cell>
          <cell r="F26" t="str">
            <v xml:space="preserve">SENIOR </v>
          </cell>
          <cell r="G26" t="str">
            <v>50172150001</v>
          </cell>
        </row>
        <row r="27">
          <cell r="A27">
            <v>16</v>
          </cell>
          <cell r="B27" t="str">
            <v>X</v>
          </cell>
          <cell r="C27" t="str">
            <v>PAILLOT YOANN</v>
          </cell>
          <cell r="E27" t="str">
            <v>CO COURONNAIS</v>
          </cell>
          <cell r="F27" t="str">
            <v>SENIOR</v>
          </cell>
          <cell r="G27" t="str">
            <v>50160100168</v>
          </cell>
        </row>
        <row r="28">
          <cell r="A28">
            <v>17</v>
          </cell>
          <cell r="B28" t="str">
            <v>X</v>
          </cell>
          <cell r="C28" t="str">
            <v>RAMBEAU JEREMY</v>
          </cell>
          <cell r="E28" t="str">
            <v>CO COURONNAIS</v>
          </cell>
          <cell r="F28" t="str">
            <v>ESPOIR</v>
          </cell>
          <cell r="G28" t="str">
            <v>50160100305</v>
          </cell>
        </row>
        <row r="29">
          <cell r="A29">
            <v>18</v>
          </cell>
          <cell r="B29" t="str">
            <v>X</v>
          </cell>
          <cell r="C29" t="str">
            <v>CRON YOHANN</v>
          </cell>
          <cell r="E29" t="str">
            <v>UV ANGERIENNE</v>
          </cell>
          <cell r="F29" t="str">
            <v xml:space="preserve">SENIOR </v>
          </cell>
          <cell r="G29" t="str">
            <v>50170530022</v>
          </cell>
        </row>
        <row r="30">
          <cell r="A30">
            <v>19</v>
          </cell>
          <cell r="B30" t="str">
            <v>X</v>
          </cell>
          <cell r="C30" t="str">
            <v>HAMON KEVIN</v>
          </cell>
          <cell r="E30" t="str">
            <v>DESTINATION MTB RACE</v>
          </cell>
          <cell r="F30" t="str">
            <v>SENIOR</v>
          </cell>
          <cell r="G30" t="str">
            <v>50792250014</v>
          </cell>
        </row>
        <row r="31">
          <cell r="A31">
            <v>20</v>
          </cell>
          <cell r="B31" t="str">
            <v>X</v>
          </cell>
          <cell r="C31" t="str">
            <v>TROCHON CHRISTOPHE</v>
          </cell>
          <cell r="E31" t="str">
            <v>CYCLE POITEVIN</v>
          </cell>
          <cell r="F31" t="str">
            <v>SENIOR</v>
          </cell>
          <cell r="G31" t="str">
            <v>50860700024</v>
          </cell>
        </row>
        <row r="32">
          <cell r="A32">
            <v>21</v>
          </cell>
          <cell r="B32" t="str">
            <v>X</v>
          </cell>
          <cell r="C32" t="str">
            <v>LAGARDE MICHEL</v>
          </cell>
          <cell r="E32" t="str">
            <v>CYCLE POITEVIN</v>
          </cell>
          <cell r="F32" t="str">
            <v>SENIOR</v>
          </cell>
          <cell r="G32" t="str">
            <v>50860700279</v>
          </cell>
        </row>
        <row r="33">
          <cell r="A33">
            <v>22</v>
          </cell>
          <cell r="B33" t="str">
            <v>X</v>
          </cell>
          <cell r="C33" t="str">
            <v>MAHE ANTOINE</v>
          </cell>
          <cell r="E33" t="str">
            <v>CC MARMANDAIS</v>
          </cell>
          <cell r="F33" t="str">
            <v>ESPOIR</v>
          </cell>
          <cell r="G33" t="str">
            <v>50472070590</v>
          </cell>
        </row>
        <row r="34">
          <cell r="A34">
            <v>23</v>
          </cell>
          <cell r="B34" t="str">
            <v>X</v>
          </cell>
          <cell r="C34" t="str">
            <v xml:space="preserve">LARPE KILIAN </v>
          </cell>
          <cell r="E34" t="str">
            <v>TEAM U CUBE 17</v>
          </cell>
          <cell r="F34" t="str">
            <v>SENIOR</v>
          </cell>
          <cell r="G34" t="str">
            <v>50171400071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1DE6-498E-4374-8BCC-6431F93DE34C}">
  <dimension ref="A1:I100"/>
  <sheetViews>
    <sheetView tabSelected="1" topLeftCell="A73" workbookViewId="0">
      <selection activeCell="M95" sqref="M95"/>
    </sheetView>
  </sheetViews>
  <sheetFormatPr baseColWidth="10" defaultRowHeight="15" x14ac:dyDescent="0.25"/>
  <cols>
    <col min="4" max="4" width="29.42578125" bestFit="1" customWidth="1"/>
    <col min="6" max="6" width="25" bestFit="1" customWidth="1"/>
  </cols>
  <sheetData>
    <row r="1" spans="1:9" x14ac:dyDescent="0.25">
      <c r="A1" s="1" t="s">
        <v>0</v>
      </c>
      <c r="B1" s="1"/>
      <c r="C1" s="2" t="str">
        <f>CONCATENATE([1]Inscription!D2,"  ",[1]Inscription!G2)</f>
        <v>GOND PONTOUVRE  16</v>
      </c>
      <c r="D1" s="3"/>
      <c r="E1" s="3"/>
      <c r="F1" s="4"/>
      <c r="G1" s="5" t="str">
        <f>IF([1]Inscription!$D$4&gt;0,"DATE :  "&amp;TEXT([1]Inscription!D$4,"jj mmmm aaaa"),"")</f>
        <v>DATE :  17 novembre 2018</v>
      </c>
      <c r="H1" s="5"/>
      <c r="I1" s="5"/>
    </row>
    <row r="2" spans="1:9" x14ac:dyDescent="0.25">
      <c r="A2" s="6" t="s">
        <v>1</v>
      </c>
      <c r="B2" s="6"/>
      <c r="C2" s="7" t="str">
        <f>[1]Inscription!D5</f>
        <v>PUPILLE</v>
      </c>
      <c r="D2" s="8"/>
      <c r="E2" s="9"/>
      <c r="F2" s="10" t="s">
        <v>2</v>
      </c>
      <c r="G2" s="11">
        <f>[1]Inscription!F8</f>
        <v>4</v>
      </c>
      <c r="H2" s="10" t="s">
        <v>3</v>
      </c>
      <c r="I2" s="11">
        <f>COUNTA(C4:C203)</f>
        <v>74</v>
      </c>
    </row>
    <row r="3" spans="1:9" ht="25.5" x14ac:dyDescent="0.25">
      <c r="A3" s="12" t="s">
        <v>4</v>
      </c>
      <c r="B3" s="13" t="s">
        <v>5</v>
      </c>
      <c r="C3" s="14" t="s">
        <v>6</v>
      </c>
      <c r="D3" s="15" t="s">
        <v>7</v>
      </c>
      <c r="E3" s="16"/>
      <c r="F3" s="14" t="s">
        <v>8</v>
      </c>
      <c r="G3" s="14" t="s">
        <v>9</v>
      </c>
      <c r="H3" s="17" t="s">
        <v>10</v>
      </c>
      <c r="I3" s="17" t="s">
        <v>11</v>
      </c>
    </row>
    <row r="4" spans="1:9" x14ac:dyDescent="0.25">
      <c r="A4" s="18" t="e">
        <f t="shared" ref="A4:A10" si="0">IF(B4&lt;1,1000,(IF(AA4=B4,B4,(20100-SUM($AA$4:$AA$203))/(COUNTIF($AA$4:$AA$203,"T")))))</f>
        <v>#DIV/0!</v>
      </c>
      <c r="B4" s="19">
        <v>1</v>
      </c>
      <c r="C4" s="20">
        <v>28</v>
      </c>
      <c r="D4" s="21" t="str">
        <f>IF(C4&gt;0,CONCATENATE((VLOOKUP($C4,[1]Inscription!$A$12:$G$211,3,FALSE)),"   ",(VLOOKUP($C4,[1]Inscription!$A$12:$G$211,4,FALSE)))," ")</f>
        <v xml:space="preserve">FAURE SEBASTIEN   </v>
      </c>
      <c r="E4" s="22"/>
      <c r="F4" s="23" t="str">
        <f>IF(C4&gt;0,(VLOOKUP($C4,[1]Inscription!$A$12:$G$211,5,FALSE))," ")</f>
        <v>AC MACQUEVILLE</v>
      </c>
      <c r="G4" s="24" t="str">
        <f>IF(C4&gt;0,(VLOOKUP($C4,[1]Inscription!$A$12:$G$211,7,FALSE))," ")</f>
        <v>50172170071</v>
      </c>
      <c r="H4" s="23" t="str">
        <f>LEFT(IF(C4&gt;0,(VLOOKUP($C4,[1]Inscription!$A$12:$G$211,6,FALSE))," "),8)</f>
        <v>PUPILLE</v>
      </c>
      <c r="I4" s="25" t="s">
        <v>12</v>
      </c>
    </row>
    <row r="5" spans="1:9" x14ac:dyDescent="0.25">
      <c r="A5" s="18" t="e">
        <f t="shared" si="0"/>
        <v>#DIV/0!</v>
      </c>
      <c r="B5" s="19">
        <v>2</v>
      </c>
      <c r="C5" s="20">
        <v>25</v>
      </c>
      <c r="D5" s="21" t="str">
        <f>IF(C5&gt;0,CONCATENATE((VLOOKUP($C5,[1]Inscription!$A$12:$G$211,3,FALSE)),"   ",(VLOOKUP($C5,[1]Inscription!$A$12:$G$211,4,FALSE)))," ")</f>
        <v xml:space="preserve">MARELLI BALANDIER GABIN   </v>
      </c>
      <c r="E5" s="22"/>
      <c r="F5" s="23" t="str">
        <f>IF(C5&gt;0,(VLOOKUP($C5,[1]Inscription!$A$12:$G$211,5,FALSE))," ")</f>
        <v>UA LA ROCHEFOUCAULD</v>
      </c>
      <c r="G5" s="24" t="str">
        <f>IF(C5&gt;0,(VLOOKUP($C5,[1]Inscription!$A$12:$G$211,7,FALSE))," ")</f>
        <v>50160150143</v>
      </c>
      <c r="H5" s="23" t="str">
        <f>LEFT(IF(C5&gt;0,(VLOOKUP($C5,[1]Inscription!$A$12:$G$211,6,FALSE))," "),8)</f>
        <v>PUPILLE</v>
      </c>
      <c r="I5" s="25" t="s">
        <v>13</v>
      </c>
    </row>
    <row r="6" spans="1:9" x14ac:dyDescent="0.25">
      <c r="A6" s="18" t="e">
        <f t="shared" si="0"/>
        <v>#DIV/0!</v>
      </c>
      <c r="B6" s="19">
        <v>3</v>
      </c>
      <c r="C6" s="20">
        <v>27</v>
      </c>
      <c r="D6" s="21" t="str">
        <f>IF(C6&gt;0,CONCATENATE((VLOOKUP($C6,[1]Inscription!$A$12:$G$211,3,FALSE)),"   ",(VLOOKUP($C6,[1]Inscription!$A$12:$G$211,4,FALSE)))," ")</f>
        <v xml:space="preserve">ESPERON ANGELO   </v>
      </c>
      <c r="E6" s="22"/>
      <c r="F6" s="23" t="str">
        <f>IF(C6&gt;0,(VLOOKUP($C6,[1]Inscription!$A$12:$G$211,5,FALSE))," ")</f>
        <v>UC MONTPON</v>
      </c>
      <c r="G6" s="24" t="str">
        <f>IF(C6&gt;0,(VLOOKUP($C6,[1]Inscription!$A$12:$G$211,7,FALSE))," ")</f>
        <v>50242680054</v>
      </c>
      <c r="H6" s="23" t="str">
        <f>LEFT(IF(C6&gt;0,(VLOOKUP($C6,[1]Inscription!$A$12:$G$211,6,FALSE))," "),8)</f>
        <v>PUPILLE</v>
      </c>
      <c r="I6" s="25" t="s">
        <v>14</v>
      </c>
    </row>
    <row r="7" spans="1:9" x14ac:dyDescent="0.25">
      <c r="A7" s="18" t="e">
        <f t="shared" si="0"/>
        <v>#DIV/0!</v>
      </c>
      <c r="B7" s="19">
        <v>4</v>
      </c>
      <c r="C7" s="20">
        <v>29</v>
      </c>
      <c r="D7" s="21" t="str">
        <f>IF(C7&gt;0,CONCATENATE((VLOOKUP($C7,[1]Inscription!$A$12:$G$211,3,FALSE)),"   ",(VLOOKUP($C7,[1]Inscription!$A$12:$G$211,4,FALSE)))," ")</f>
        <v xml:space="preserve">ZINTCHOUK ALEXANDRE   </v>
      </c>
      <c r="E7" s="22"/>
      <c r="F7" s="23" t="str">
        <f>IF(C7&gt;0,(VLOOKUP($C7,[1]Inscription!$A$12:$G$211,5,FALSE))," ")</f>
        <v>UC MONTPON</v>
      </c>
      <c r="G7" s="24" t="str">
        <f>IF(C7&gt;0,(VLOOKUP($C7,[1]Inscription!$A$12:$G$211,7,FALSE))," ")</f>
        <v>50242680068</v>
      </c>
      <c r="H7" s="23" t="str">
        <f>LEFT(IF(C7&gt;0,(VLOOKUP($C7,[1]Inscription!$A$12:$G$211,6,FALSE))," "),8)</f>
        <v>PUPILLE</v>
      </c>
      <c r="I7" s="25" t="s">
        <v>15</v>
      </c>
    </row>
    <row r="8" spans="1:9" x14ac:dyDescent="0.25">
      <c r="A8" s="18"/>
      <c r="B8" s="19"/>
      <c r="C8" s="20"/>
      <c r="D8" s="21"/>
      <c r="E8" s="22"/>
      <c r="F8" s="23"/>
      <c r="G8" s="24"/>
      <c r="H8" s="23"/>
      <c r="I8" s="25"/>
    </row>
    <row r="9" spans="1:9" x14ac:dyDescent="0.25">
      <c r="A9" s="18"/>
      <c r="B9" s="19"/>
      <c r="C9" s="20"/>
      <c r="D9" s="21"/>
      <c r="E9" s="22"/>
      <c r="F9" s="23"/>
      <c r="G9" s="24"/>
      <c r="H9" s="23"/>
      <c r="I9" s="25"/>
    </row>
    <row r="10" spans="1:9" x14ac:dyDescent="0.25">
      <c r="A10" s="18"/>
      <c r="B10" s="19"/>
      <c r="C10" s="20"/>
      <c r="D10" s="21"/>
      <c r="E10" s="22"/>
      <c r="F10" s="23"/>
      <c r="G10" s="24"/>
      <c r="H10" s="23"/>
      <c r="I10" s="25"/>
    </row>
    <row r="13" spans="1:9" x14ac:dyDescent="0.25">
      <c r="A13" s="1" t="s">
        <v>0</v>
      </c>
      <c r="B13" s="1"/>
      <c r="C13" s="2" t="str">
        <f>CONCATENATE([2]Inscription!D14,"  ",[2]Inscription!G14)</f>
        <v xml:space="preserve">  50162050090</v>
      </c>
      <c r="D13" s="3"/>
      <c r="E13" s="3"/>
      <c r="F13" s="4"/>
      <c r="G13" s="5" t="str">
        <f>IF([2]Inscription!$D$4&gt;0,"DATE :  "&amp;TEXT([2]Inscription!D$4,"jj mmmm aaaa"),"")</f>
        <v>DATE :  17 novembre 2018</v>
      </c>
      <c r="H13" s="5"/>
      <c r="I13" s="5"/>
    </row>
    <row r="14" spans="1:9" x14ac:dyDescent="0.25">
      <c r="A14" s="6" t="s">
        <v>1</v>
      </c>
      <c r="B14" s="6"/>
      <c r="C14" s="7">
        <f>[2]Inscription!D17</f>
        <v>0</v>
      </c>
      <c r="D14" s="8"/>
      <c r="E14" s="9"/>
      <c r="F14" s="10" t="s">
        <v>2</v>
      </c>
      <c r="G14" s="11">
        <f>[2]Inscription!F20</f>
        <v>0</v>
      </c>
      <c r="H14" s="10" t="s">
        <v>3</v>
      </c>
      <c r="I14" s="11">
        <f>COUNTA(C16:C215)</f>
        <v>67</v>
      </c>
    </row>
    <row r="15" spans="1:9" ht="25.5" x14ac:dyDescent="0.25">
      <c r="A15" s="12" t="s">
        <v>4</v>
      </c>
      <c r="B15" s="13" t="s">
        <v>5</v>
      </c>
      <c r="C15" s="14" t="s">
        <v>6</v>
      </c>
      <c r="D15" s="15" t="s">
        <v>7</v>
      </c>
      <c r="E15" s="16"/>
      <c r="F15" s="14" t="s">
        <v>8</v>
      </c>
      <c r="G15" s="14" t="s">
        <v>9</v>
      </c>
      <c r="H15" s="17" t="s">
        <v>10</v>
      </c>
      <c r="I15" s="17" t="s">
        <v>11</v>
      </c>
    </row>
    <row r="16" spans="1:9" x14ac:dyDescent="0.25">
      <c r="A16" s="18" t="e">
        <f t="shared" ref="A16:A22" si="1">IF(B16&lt;1,1000,(IF(AA16=B16,B16,(20100-SUM($AA$4:$AA$203))/(COUNTIF($AA$4:$AA$203,"T")))))</f>
        <v>#DIV/0!</v>
      </c>
      <c r="B16" s="19">
        <v>1</v>
      </c>
      <c r="C16" s="20">
        <v>1</v>
      </c>
      <c r="D16" s="21" t="str">
        <f>IF(C16&gt;0,CONCATENATE((VLOOKUP($C16,[2]Inscription!$A$12:$G$211,3,FALSE)),"   ",(VLOOKUP($C16,[2]Inscription!$A$12:$G$211,4,FALSE)))," ")</f>
        <v xml:space="preserve">GAUTHIER GABIN   </v>
      </c>
      <c r="E16" s="22"/>
      <c r="F16" s="23" t="str">
        <f>IF(C16&gt;0,(VLOOKUP($C16,[2]Inscription!$A$12:$G$211,5,FALSE))," ")</f>
        <v>UA LA ROCHRFOUCAULD</v>
      </c>
      <c r="G16" s="24" t="str">
        <f>IF(C16&gt;0,(VLOOKUP($C16,[2]Inscription!$A$12:$G$211,7,FALSE))," ")</f>
        <v>50160150039</v>
      </c>
      <c r="H16" s="23" t="str">
        <f>LEFT(IF(C16&gt;0,(VLOOKUP($C16,[2]Inscription!$A$12:$G$211,6,FALSE))," "),8)</f>
        <v>BEN</v>
      </c>
      <c r="I16" s="25" t="s">
        <v>16</v>
      </c>
    </row>
    <row r="17" spans="1:9" x14ac:dyDescent="0.25">
      <c r="A17" s="18" t="e">
        <f t="shared" si="1"/>
        <v>#DIV/0!</v>
      </c>
      <c r="B17" s="19">
        <v>2</v>
      </c>
      <c r="C17" s="20">
        <v>5</v>
      </c>
      <c r="D17" s="21" t="str">
        <f>IF(C17&gt;0,CONCATENATE((VLOOKUP($C17,[2]Inscription!$A$12:$G$211,3,FALSE)),"   ",(VLOOKUP($C17,[2]Inscription!$A$12:$G$211,4,FALSE)))," ")</f>
        <v xml:space="preserve">BERNARD MARIN   </v>
      </c>
      <c r="E17" s="22"/>
      <c r="F17" s="23" t="str">
        <f>IF(C17&gt;0,(VLOOKUP($C17,[2]Inscription!$A$12:$G$211,5,FALSE))," ")</f>
        <v>UA LA ROCHRFOUCAULD</v>
      </c>
      <c r="G17" s="24" t="str">
        <f>IF(C17&gt;0,(VLOOKUP($C17,[2]Inscription!$A$12:$G$211,7,FALSE))," ")</f>
        <v>50160150098</v>
      </c>
      <c r="H17" s="23" t="str">
        <f>LEFT(IF(C17&gt;0,(VLOOKUP($C17,[2]Inscription!$A$12:$G$211,6,FALSE))," "),8)</f>
        <v>BEN</v>
      </c>
      <c r="I17" s="25" t="s">
        <v>17</v>
      </c>
    </row>
    <row r="18" spans="1:9" x14ac:dyDescent="0.25">
      <c r="A18" s="18" t="e">
        <f t="shared" si="1"/>
        <v>#DIV/0!</v>
      </c>
      <c r="B18" s="19">
        <v>3</v>
      </c>
      <c r="C18" s="20">
        <v>6</v>
      </c>
      <c r="D18" s="21" t="str">
        <f>IF(C18&gt;0,CONCATENATE((VLOOKUP($C18,[2]Inscription!$A$12:$G$211,3,FALSE)),"   ",(VLOOKUP($C18,[2]Inscription!$A$12:$G$211,4,FALSE)))," ")</f>
        <v xml:space="preserve">CRON ELI   </v>
      </c>
      <c r="E18" s="22"/>
      <c r="F18" s="23" t="str">
        <f>IF(C18&gt;0,(VLOOKUP($C18,[2]Inscription!$A$12:$G$211,5,FALSE))," ")</f>
        <v>UV ANGERIENNE</v>
      </c>
      <c r="G18" s="24" t="str">
        <f>IF(C18&gt;0,(VLOOKUP($C18,[2]Inscription!$A$12:$G$211,7,FALSE))," ")</f>
        <v>50170530147</v>
      </c>
      <c r="H18" s="23" t="str">
        <f>LEFT(IF(C18&gt;0,(VLOOKUP($C18,[2]Inscription!$A$12:$G$211,6,FALSE))," "),8)</f>
        <v>BEN</v>
      </c>
      <c r="I18" s="25" t="s">
        <v>18</v>
      </c>
    </row>
    <row r="19" spans="1:9" x14ac:dyDescent="0.25">
      <c r="A19" s="18" t="e">
        <f t="shared" si="1"/>
        <v>#DIV/0!</v>
      </c>
      <c r="B19" s="19">
        <v>4</v>
      </c>
      <c r="C19" s="20">
        <v>4</v>
      </c>
      <c r="D19" s="21" t="str">
        <f>IF(C19&gt;0,CONCATENATE((VLOOKUP($C19,[2]Inscription!$A$12:$G$211,3,FALSE)),"   ",(VLOOKUP($C19,[2]Inscription!$A$12:$G$211,4,FALSE)))," ")</f>
        <v xml:space="preserve">JOBIT KILIAN   </v>
      </c>
      <c r="E19" s="22"/>
      <c r="F19" s="23" t="str">
        <f>IF(C19&gt;0,(VLOOKUP($C19,[2]Inscription!$A$12:$G$211,5,FALSE))," ")</f>
        <v>TC CHATEAUBERNARD</v>
      </c>
      <c r="G19" s="24" t="str">
        <f>IF(C19&gt;0,(VLOOKUP($C19,[2]Inscription!$A$12:$G$211,7,FALSE))," ")</f>
        <v>50162050072</v>
      </c>
      <c r="H19" s="23" t="str">
        <f>LEFT(IF(C19&gt;0,(VLOOKUP($C19,[2]Inscription!$A$12:$G$211,6,FALSE))," "),8)</f>
        <v>BEN</v>
      </c>
      <c r="I19" s="25" t="s">
        <v>19</v>
      </c>
    </row>
    <row r="20" spans="1:9" x14ac:dyDescent="0.25">
      <c r="A20" s="18" t="e">
        <f t="shared" si="1"/>
        <v>#DIV/0!</v>
      </c>
      <c r="B20" s="19">
        <v>5</v>
      </c>
      <c r="C20" s="20">
        <v>3</v>
      </c>
      <c r="D20" s="21" t="str">
        <f>IF(C20&gt;0,CONCATENATE((VLOOKUP($C20,[2]Inscription!$A$12:$G$211,3,FALSE)),"   ",(VLOOKUP($C20,[2]Inscription!$A$12:$G$211,4,FALSE)))," ")</f>
        <v xml:space="preserve">GERDIL TESSA   </v>
      </c>
      <c r="E20" s="22"/>
      <c r="F20" s="23" t="str">
        <f>IF(C20&gt;0,(VLOOKUP($C20,[2]Inscription!$A$12:$G$211,5,FALSE))," ")</f>
        <v>TC CHATEAUBERNARD</v>
      </c>
      <c r="G20" s="24" t="str">
        <f>IF(C20&gt;0,(VLOOKUP($C20,[2]Inscription!$A$12:$G$211,7,FALSE))," ")</f>
        <v>50162050090</v>
      </c>
      <c r="H20" s="23" t="str">
        <f>LEFT(IF(C20&gt;0,(VLOOKUP($C20,[2]Inscription!$A$12:$G$211,6,FALSE))," "),8)</f>
        <v>BEN F</v>
      </c>
      <c r="I20" s="25" t="str">
        <f t="shared" ref="I20:I22" si="2">I19</f>
        <v>1T</v>
      </c>
    </row>
    <row r="21" spans="1:9" x14ac:dyDescent="0.25">
      <c r="A21" s="18"/>
      <c r="B21" s="19"/>
      <c r="C21" s="20"/>
      <c r="D21" s="21"/>
      <c r="E21" s="22"/>
      <c r="F21" s="23"/>
      <c r="G21" s="24"/>
      <c r="H21" s="23"/>
      <c r="I21" s="25"/>
    </row>
    <row r="22" spans="1:9" x14ac:dyDescent="0.25">
      <c r="A22" s="18"/>
      <c r="B22" s="19"/>
      <c r="C22" s="20"/>
      <c r="D22" s="21"/>
      <c r="E22" s="22"/>
      <c r="F22" s="23"/>
      <c r="G22" s="24"/>
      <c r="H22" s="23"/>
      <c r="I22" s="25"/>
    </row>
    <row r="25" spans="1:9" x14ac:dyDescent="0.25">
      <c r="A25" s="1" t="s">
        <v>0</v>
      </c>
      <c r="B25" s="1"/>
      <c r="C25" s="2" t="str">
        <f>CONCATENATE([3]Inscription!D26,"  ",[3]Inscription!G26)</f>
        <v xml:space="preserve">  </v>
      </c>
      <c r="D25" s="3"/>
      <c r="E25" s="3"/>
      <c r="F25" s="4"/>
      <c r="G25" s="5" t="str">
        <f>IF([3]Inscription!$D$4&gt;0,"DATE :  "&amp;TEXT([3]Inscription!D$4,"jj mmmm aaaa"),"")</f>
        <v>DATE :  17 novembre 2018</v>
      </c>
      <c r="H25" s="5"/>
      <c r="I25" s="5"/>
    </row>
    <row r="26" spans="1:9" x14ac:dyDescent="0.25">
      <c r="A26" s="6" t="s">
        <v>1</v>
      </c>
      <c r="B26" s="6"/>
      <c r="C26" s="7">
        <f>[3]Inscription!D29</f>
        <v>0</v>
      </c>
      <c r="D26" s="8"/>
      <c r="E26" s="9"/>
      <c r="F26" s="10" t="s">
        <v>2</v>
      </c>
      <c r="G26" s="11">
        <f>[3]Inscription!F32</f>
        <v>0</v>
      </c>
      <c r="H26" s="10" t="s">
        <v>3</v>
      </c>
      <c r="I26" s="11">
        <f>COUNTA(C28:C227)</f>
        <v>59</v>
      </c>
    </row>
    <row r="27" spans="1:9" ht="25.5" x14ac:dyDescent="0.25">
      <c r="A27" s="12" t="s">
        <v>4</v>
      </c>
      <c r="B27" s="13" t="s">
        <v>5</v>
      </c>
      <c r="C27" s="14" t="s">
        <v>6</v>
      </c>
      <c r="D27" s="15" t="s">
        <v>7</v>
      </c>
      <c r="E27" s="16"/>
      <c r="F27" s="14" t="s">
        <v>8</v>
      </c>
      <c r="G27" s="14" t="s">
        <v>9</v>
      </c>
      <c r="H27" s="17" t="s">
        <v>10</v>
      </c>
      <c r="I27" s="17" t="s">
        <v>11</v>
      </c>
    </row>
    <row r="28" spans="1:9" x14ac:dyDescent="0.25">
      <c r="A28" s="18" t="e">
        <f t="shared" ref="A28:A37" si="3">IF(B28&lt;1,1000,(IF(AA28=B28,B28,(20100-SUM($AA$4:$AA$203))/(COUNTIF($AA$4:$AA$203,"T")))))</f>
        <v>#DIV/0!</v>
      </c>
      <c r="B28" s="19">
        <v>1</v>
      </c>
      <c r="C28" s="20">
        <v>58</v>
      </c>
      <c r="D28" s="21" t="str">
        <f>IF(C28&gt;0,CONCATENATE((VLOOKUP($C28,[3]Inscription!$A$12:$G$211,3,FALSE)),"   ",(VLOOKUP($C28,[3]Inscription!$A$12:$G$211,4,FALSE)))," ")</f>
        <v xml:space="preserve">BONNIN NOEMIE   </v>
      </c>
      <c r="E28" s="22"/>
      <c r="F28" s="23" t="str">
        <f>IF(C28&gt;0,(VLOOKUP($C28,[3]Inscription!$A$12:$G$211,5,FALSE))," ")</f>
        <v>LA ROCHE SUR YON VENDEE</v>
      </c>
      <c r="G28" s="24" t="str">
        <f>IF(C28&gt;0,(VLOOKUP($C28,[3]Inscription!$A$12:$G$211,7,FALSE))," ")</f>
        <v>52850640661</v>
      </c>
      <c r="H28" s="23" t="str">
        <f>LEFT(IF(C28&gt;0,(VLOOKUP($C28,[3]Inscription!$A$12:$G$211,6,FALSE))," "),8)</f>
        <v>MINIME F</v>
      </c>
      <c r="I28" s="25" t="s">
        <v>20</v>
      </c>
    </row>
    <row r="29" spans="1:9" x14ac:dyDescent="0.25">
      <c r="A29" s="18" t="e">
        <f t="shared" si="3"/>
        <v>#DIV/0!</v>
      </c>
      <c r="B29" s="19">
        <v>2</v>
      </c>
      <c r="C29" s="20">
        <v>55</v>
      </c>
      <c r="D29" s="21" t="str">
        <f>IF(C29&gt;0,CONCATENATE((VLOOKUP($C29,[3]Inscription!$A$12:$G$211,3,FALSE)),"   ",(VLOOKUP($C29,[3]Inscription!$A$12:$G$211,4,FALSE)))," ")</f>
        <v xml:space="preserve">JOBIT YANIS   </v>
      </c>
      <c r="E29" s="22"/>
      <c r="F29" s="23" t="str">
        <f>IF(C29&gt;0,(VLOOKUP($C29,[3]Inscription!$A$12:$G$211,5,FALSE))," ")</f>
        <v>TC CHATEAUBERNARD</v>
      </c>
      <c r="G29" s="24" t="str">
        <f>IF(C29&gt;0,(VLOOKUP($C29,[3]Inscription!$A$12:$G$211,7,FALSE))," ")</f>
        <v>50162050071</v>
      </c>
      <c r="H29" s="23" t="str">
        <f>LEFT(IF(C29&gt;0,(VLOOKUP($C29,[3]Inscription!$A$12:$G$211,6,FALSE))," "),8)</f>
        <v>MINIME</v>
      </c>
      <c r="I29" s="25" t="s">
        <v>21</v>
      </c>
    </row>
    <row r="30" spans="1:9" x14ac:dyDescent="0.25">
      <c r="A30" s="18" t="e">
        <f t="shared" si="3"/>
        <v>#DIV/0!</v>
      </c>
      <c r="B30" s="19">
        <v>3</v>
      </c>
      <c r="C30" s="20">
        <v>53</v>
      </c>
      <c r="D30" s="21" t="str">
        <f>IF(C30&gt;0,CONCATENATE((VLOOKUP($C30,[3]Inscription!$A$12:$G$211,3,FALSE)),"   ",(VLOOKUP($C30,[3]Inscription!$A$12:$G$211,4,FALSE)))," ")</f>
        <v xml:space="preserve">MARELLI BALANDIER TOM   </v>
      </c>
      <c r="E30" s="22"/>
      <c r="F30" s="23" t="str">
        <f>IF(C30&gt;0,(VLOOKUP($C30,[3]Inscription!$A$12:$G$211,5,FALSE))," ")</f>
        <v>UA LA ROCHEFOUCAULD</v>
      </c>
      <c r="G30" s="24" t="str">
        <f>IF(C30&gt;0,(VLOOKUP($C30,[3]Inscription!$A$12:$G$211,7,FALSE))," ")</f>
        <v>50160150156</v>
      </c>
      <c r="H30" s="23" t="str">
        <f>LEFT(IF(C30&gt;0,(VLOOKUP($C30,[3]Inscription!$A$12:$G$211,6,FALSE))," "),8)</f>
        <v>MINIME</v>
      </c>
      <c r="I30" s="25" t="s">
        <v>22</v>
      </c>
    </row>
    <row r="31" spans="1:9" x14ac:dyDescent="0.25">
      <c r="A31" s="18" t="e">
        <f t="shared" si="3"/>
        <v>#DIV/0!</v>
      </c>
      <c r="B31" s="19">
        <v>4</v>
      </c>
      <c r="C31" s="20">
        <v>54</v>
      </c>
      <c r="D31" s="21" t="str">
        <f>IF(C31&gt;0,CONCATENATE((VLOOKUP($C31,[3]Inscription!$A$12:$G$211,3,FALSE)),"   ",(VLOOKUP($C31,[3]Inscription!$A$12:$G$211,4,FALSE)))," ")</f>
        <v xml:space="preserve">TRANQUARD QUENTIN   </v>
      </c>
      <c r="E31" s="22"/>
      <c r="F31" s="23" t="str">
        <f>IF(C31&gt;0,(VLOOKUP($C31,[3]Inscription!$A$12:$G$211,5,FALSE))," ")</f>
        <v>VC ROCHRFORT</v>
      </c>
      <c r="G31" s="24" t="str">
        <f>IF(C31&gt;0,(VLOOKUP($C31,[3]Inscription!$A$12:$G$211,7,FALSE))," ")</f>
        <v>50170450075</v>
      </c>
      <c r="H31" s="23" t="str">
        <f>LEFT(IF(C31&gt;0,(VLOOKUP($C31,[3]Inscription!$A$12:$G$211,6,FALSE))," "),8)</f>
        <v>MINIME</v>
      </c>
      <c r="I31" s="25" t="s">
        <v>23</v>
      </c>
    </row>
    <row r="32" spans="1:9" x14ac:dyDescent="0.25">
      <c r="A32" s="18" t="e">
        <f t="shared" si="3"/>
        <v>#DIV/0!</v>
      </c>
      <c r="B32" s="19">
        <v>5</v>
      </c>
      <c r="C32" s="20">
        <v>56</v>
      </c>
      <c r="D32" s="21" t="str">
        <f>IF(C32&gt;0,CONCATENATE((VLOOKUP($C32,[3]Inscription!$A$12:$G$211,3,FALSE)),"   ",(VLOOKUP($C32,[3]Inscription!$A$12:$G$211,4,FALSE)))," ")</f>
        <v xml:space="preserve">HIBBERD HENRY   </v>
      </c>
      <c r="E32" s="22"/>
      <c r="F32" s="23" t="str">
        <f>IF(C32&gt;0,(VLOOKUP($C32,[3]Inscription!$A$12:$G$211,5,FALSE))," ")</f>
        <v>CC VERVANT</v>
      </c>
      <c r="G32" s="24" t="str">
        <f>IF(C32&gt;0,(VLOOKUP($C32,[3]Inscription!$A$12:$G$211,7,FALSE))," ")</f>
        <v>50170790035</v>
      </c>
      <c r="H32" s="23" t="str">
        <f>LEFT(IF(C32&gt;0,(VLOOKUP($C32,[3]Inscription!$A$12:$G$211,6,FALSE))," "),8)</f>
        <v>MINIME</v>
      </c>
      <c r="I32" s="25" t="s">
        <v>24</v>
      </c>
    </row>
    <row r="33" spans="1:9" x14ac:dyDescent="0.25">
      <c r="A33" s="18" t="e">
        <f t="shared" si="3"/>
        <v>#DIV/0!</v>
      </c>
      <c r="B33" s="19">
        <v>6</v>
      </c>
      <c r="C33" s="20">
        <v>51</v>
      </c>
      <c r="D33" s="21" t="str">
        <f>IF(C33&gt;0,CONCATENATE((VLOOKUP($C33,[3]Inscription!$A$12:$G$211,3,FALSE)),"   ",(VLOOKUP($C33,[3]Inscription!$A$12:$G$211,4,FALSE)))," ")</f>
        <v xml:space="preserve">SARRAZIN ARNAUD   </v>
      </c>
      <c r="E33" s="22"/>
      <c r="F33" s="23" t="str">
        <f>IF(C33&gt;0,(VLOOKUP($C33,[3]Inscription!$A$12:$G$211,5,FALSE))," ")</f>
        <v>AL GOND PONTOUVRE</v>
      </c>
      <c r="G33" s="24" t="str">
        <f>IF(C33&gt;0,(VLOOKUP($C33,[3]Inscription!$A$12:$G$211,7,FALSE))," ")</f>
        <v>50161640001</v>
      </c>
      <c r="H33" s="23" t="str">
        <f>LEFT(IF(C33&gt;0,(VLOOKUP($C33,[3]Inscription!$A$12:$G$211,6,FALSE))," "),8)</f>
        <v>MINIME</v>
      </c>
      <c r="I33" s="25" t="s">
        <v>25</v>
      </c>
    </row>
    <row r="34" spans="1:9" x14ac:dyDescent="0.25">
      <c r="A34" s="18" t="e">
        <f t="shared" si="3"/>
        <v>#DIV/0!</v>
      </c>
      <c r="B34" s="19">
        <v>7</v>
      </c>
      <c r="C34" s="20">
        <v>57</v>
      </c>
      <c r="D34" s="21" t="str">
        <f>IF(C34&gt;0,CONCATENATE((VLOOKUP($C34,[3]Inscription!$A$12:$G$211,3,FALSE)),"   ",(VLOOKUP($C34,[3]Inscription!$A$12:$G$211,4,FALSE)))," ")</f>
        <v xml:space="preserve">DEVILLE WELTERSBACK ERWAN   </v>
      </c>
      <c r="E34" s="22"/>
      <c r="F34" s="23" t="str">
        <f>IF(C34&gt;0,(VLOOKUP($C34,[3]Inscription!$A$12:$G$211,5,FALSE))," ")</f>
        <v>AC MACQUEVILLOIS</v>
      </c>
      <c r="G34" s="24" t="str">
        <f>IF(C34&gt;0,(VLOOKUP($C34,[3]Inscription!$A$12:$G$211,7,FALSE))," ")</f>
        <v>50172170047</v>
      </c>
      <c r="H34" s="23" t="str">
        <f>LEFT(IF(C34&gt;0,(VLOOKUP($C34,[3]Inscription!$A$12:$G$211,6,FALSE))," "),8)</f>
        <v>MINIME</v>
      </c>
      <c r="I34" s="25" t="s">
        <v>19</v>
      </c>
    </row>
    <row r="35" spans="1:9" x14ac:dyDescent="0.25">
      <c r="A35" s="18" t="e">
        <f t="shared" si="3"/>
        <v>#DIV/0!</v>
      </c>
      <c r="B35" s="19">
        <v>8</v>
      </c>
      <c r="C35" s="20">
        <v>52</v>
      </c>
      <c r="D35" s="21" t="str">
        <f>IF(C35&gt;0,CONCATENATE((VLOOKUP($C35,[3]Inscription!$A$12:$G$211,3,FALSE)),"   ",(VLOOKUP($C35,[3]Inscription!$A$12:$G$211,4,FALSE)))," ")</f>
        <v xml:space="preserve">GAUTHIER CHARLYNE   </v>
      </c>
      <c r="E35" s="22"/>
      <c r="F35" s="23" t="str">
        <f>IF(C35&gt;0,(VLOOKUP($C35,[3]Inscription!$A$12:$G$211,5,FALSE))," ")</f>
        <v>UA LA ROCHEFOUCAULD</v>
      </c>
      <c r="G35" s="24" t="str">
        <f>IF(C35&gt;0,(VLOOKUP($C35,[3]Inscription!$A$12:$G$211,7,FALSE))," ")</f>
        <v>50160150052</v>
      </c>
      <c r="H35" s="23" t="str">
        <f>LEFT(IF(C35&gt;0,(VLOOKUP($C35,[3]Inscription!$A$12:$G$211,6,FALSE))," "),8)</f>
        <v>MINIME F</v>
      </c>
      <c r="I35" s="25" t="str">
        <f t="shared" ref="I35:I37" si="4">I34</f>
        <v>1T</v>
      </c>
    </row>
    <row r="36" spans="1:9" x14ac:dyDescent="0.25">
      <c r="A36" s="18"/>
      <c r="B36" s="19"/>
      <c r="C36" s="20"/>
      <c r="D36" s="21"/>
      <c r="E36" s="22"/>
      <c r="F36" s="23"/>
      <c r="G36" s="24"/>
      <c r="H36" s="23"/>
      <c r="I36" s="25"/>
    </row>
    <row r="37" spans="1:9" x14ac:dyDescent="0.25">
      <c r="A37" s="18"/>
      <c r="B37" s="19"/>
      <c r="C37" s="20"/>
      <c r="D37" s="21"/>
      <c r="E37" s="22"/>
      <c r="F37" s="23"/>
      <c r="G37" s="24"/>
      <c r="H37" s="23"/>
      <c r="I37" s="25"/>
    </row>
    <row r="40" spans="1:9" x14ac:dyDescent="0.25">
      <c r="A40" s="1" t="s">
        <v>0</v>
      </c>
      <c r="B40" s="1"/>
      <c r="C40" s="2" t="str">
        <f>CONCATENATE([4]Inscription!D41,"  ",[4]Inscription!G41)</f>
        <v xml:space="preserve">  </v>
      </c>
      <c r="D40" s="3"/>
      <c r="E40" s="3"/>
      <c r="F40" s="4"/>
      <c r="G40" s="5" t="str">
        <f>IF([4]Inscription!$D$4&gt;0,"DATE :  "&amp;TEXT([4]Inscription!D$4,"jj mmmm aaaa"),"")</f>
        <v>DATE :  17 novembre 2018</v>
      </c>
      <c r="H40" s="5"/>
      <c r="I40" s="5"/>
    </row>
    <row r="41" spans="1:9" x14ac:dyDescent="0.25">
      <c r="A41" s="6" t="s">
        <v>1</v>
      </c>
      <c r="B41" s="6"/>
      <c r="C41" s="7">
        <f>[4]Inscription!D44</f>
        <v>0</v>
      </c>
      <c r="D41" s="8"/>
      <c r="E41" s="9"/>
      <c r="F41" s="10" t="s">
        <v>2</v>
      </c>
      <c r="G41" s="11">
        <f>[4]Inscription!F47</f>
        <v>0</v>
      </c>
      <c r="H41" s="10" t="s">
        <v>3</v>
      </c>
      <c r="I41" s="11">
        <f>COUNTA(C43:C242)</f>
        <v>48</v>
      </c>
    </row>
    <row r="42" spans="1:9" ht="25.5" x14ac:dyDescent="0.25">
      <c r="A42" s="12" t="s">
        <v>4</v>
      </c>
      <c r="B42" s="13" t="s">
        <v>5</v>
      </c>
      <c r="C42" s="14" t="s">
        <v>6</v>
      </c>
      <c r="D42" s="15" t="s">
        <v>7</v>
      </c>
      <c r="E42" s="16"/>
      <c r="F42" s="14" t="s">
        <v>8</v>
      </c>
      <c r="G42" s="14" t="s">
        <v>9</v>
      </c>
      <c r="H42" s="17" t="s">
        <v>10</v>
      </c>
      <c r="I42" s="17" t="s">
        <v>11</v>
      </c>
    </row>
    <row r="43" spans="1:9" x14ac:dyDescent="0.25">
      <c r="A43" s="18" t="e">
        <f t="shared" ref="A43:A55" si="5">IF(B43&lt;1,1000,(IF(AA43=B43,B43,(20100-SUM($AA$4:$AA$203))/(COUNTIF($AA$4:$AA$203,"T")))))</f>
        <v>#DIV/0!</v>
      </c>
      <c r="B43" s="19">
        <v>1</v>
      </c>
      <c r="C43" s="20">
        <v>34</v>
      </c>
      <c r="D43" s="21" t="str">
        <f>IF(C43&gt;0,CONCATENATE((VLOOKUP($C43,[4]Inscription!$A$12:$G$211,3,FALSE)),"   ",(VLOOKUP($C43,[4]Inscription!$A$12:$G$211,4,FALSE)))," ")</f>
        <v xml:space="preserve">POTET FABIEN   </v>
      </c>
      <c r="E43" s="22"/>
      <c r="F43" s="23" t="str">
        <f>IF(C43&gt;0,(VLOOKUP($C43,[4]Inscription!$A$12:$G$211,5,FALSE))," ")</f>
        <v>CA CIVRAY</v>
      </c>
      <c r="G43" s="24" t="str">
        <f>IF(C43&gt;0,(VLOOKUP($C43,[4]Inscription!$A$12:$G$211,7,FALSE))," ")</f>
        <v>50860630127</v>
      </c>
      <c r="H43" s="23" t="str">
        <f>LEFT(IF(C43&gt;0,(VLOOKUP($C43,[4]Inscription!$A$12:$G$211,6,FALSE))," "),8)</f>
        <v>CADET</v>
      </c>
      <c r="I43" s="25" t="s">
        <v>26</v>
      </c>
    </row>
    <row r="44" spans="1:9" x14ac:dyDescent="0.25">
      <c r="A44" s="18" t="e">
        <f t="shared" si="5"/>
        <v>#DIV/0!</v>
      </c>
      <c r="B44" s="19">
        <v>2</v>
      </c>
      <c r="C44" s="20">
        <v>26</v>
      </c>
      <c r="D44" s="21" t="str">
        <f>IF(C44&gt;0,CONCATENATE((VLOOKUP($C44,[4]Inscription!$A$12:$G$211,3,FALSE)),"   ",(VLOOKUP($C44,[4]Inscription!$A$12:$G$211,4,FALSE)))," ")</f>
        <v xml:space="preserve">MASOCH MARIUS   </v>
      </c>
      <c r="E44" s="22"/>
      <c r="F44" s="23" t="str">
        <f>IF(C44&gt;0,(VLOOKUP($C44,[4]Inscription!$A$12:$G$211,5,FALSE))," ")</f>
        <v>UA LA ROCHEFOUCAULD</v>
      </c>
      <c r="G44" s="24" t="str">
        <f>IF(C44&gt;0,(VLOOKUP($C44,[4]Inscription!$A$12:$G$211,7,FALSE))," ")</f>
        <v>50160150054</v>
      </c>
      <c r="H44" s="23" t="str">
        <f>LEFT(IF(C44&gt;0,(VLOOKUP($C44,[4]Inscription!$A$12:$G$211,6,FALSE))," "),8)</f>
        <v>CADET</v>
      </c>
      <c r="I44" s="25" t="s">
        <v>27</v>
      </c>
    </row>
    <row r="45" spans="1:9" x14ac:dyDescent="0.25">
      <c r="A45" s="18" t="e">
        <f t="shared" si="5"/>
        <v>#DIV/0!</v>
      </c>
      <c r="B45" s="19">
        <v>3</v>
      </c>
      <c r="C45" s="20">
        <v>35</v>
      </c>
      <c r="D45" s="21" t="str">
        <f>IF(C45&gt;0,CONCATENATE((VLOOKUP($C45,[4]Inscription!$A$12:$G$211,3,FALSE)),"   ",(VLOOKUP($C45,[4]Inscription!$A$12:$G$211,4,FALSE)))," ")</f>
        <v xml:space="preserve">SEGUIN YANNIS   </v>
      </c>
      <c r="E45" s="22"/>
      <c r="F45" s="23" t="str">
        <f>IF(C45&gt;0,(VLOOKUP($C45,[4]Inscription!$A$12:$G$211,5,FALSE))," ")</f>
        <v>ANGOULEME VELO CLUB</v>
      </c>
      <c r="G45" s="24" t="str">
        <f>IF(C45&gt;0,(VLOOKUP($C45,[4]Inscription!$A$12:$G$211,7,FALSE))," ")</f>
        <v>50161860055</v>
      </c>
      <c r="H45" s="23" t="str">
        <f>LEFT(IF(C45&gt;0,(VLOOKUP($C45,[4]Inscription!$A$12:$G$211,6,FALSE))," "),8)</f>
        <v>CADET</v>
      </c>
      <c r="I45" s="25" t="s">
        <v>28</v>
      </c>
    </row>
    <row r="46" spans="1:9" x14ac:dyDescent="0.25">
      <c r="A46" s="18" t="e">
        <f t="shared" si="5"/>
        <v>#DIV/0!</v>
      </c>
      <c r="B46" s="19">
        <v>4</v>
      </c>
      <c r="C46" s="20">
        <v>25</v>
      </c>
      <c r="D46" s="21" t="str">
        <f>IF(C46&gt;0,CONCATENATE((VLOOKUP($C46,[4]Inscription!$A$12:$G$211,3,FALSE)),"   ",(VLOOKUP($C46,[4]Inscription!$A$12:$G$211,4,FALSE)))," ")</f>
        <v xml:space="preserve">BONNIN MATHEO   </v>
      </c>
      <c r="E46" s="22"/>
      <c r="F46" s="23" t="str">
        <f>IF(C46&gt;0,(VLOOKUP($C46,[4]Inscription!$A$12:$G$211,5,FALSE))," ")</f>
        <v>CC VERVANT</v>
      </c>
      <c r="G46" s="24" t="str">
        <f>IF(C46&gt;0,(VLOOKUP($C46,[4]Inscription!$A$12:$G$211,7,FALSE))," ")</f>
        <v>50170790001</v>
      </c>
      <c r="H46" s="23" t="str">
        <f>LEFT(IF(C46&gt;0,(VLOOKUP($C46,[4]Inscription!$A$12:$G$211,6,FALSE))," "),8)</f>
        <v>CADET</v>
      </c>
      <c r="I46" s="25" t="s">
        <v>29</v>
      </c>
    </row>
    <row r="47" spans="1:9" x14ac:dyDescent="0.25">
      <c r="A47" s="18" t="e">
        <f t="shared" si="5"/>
        <v>#DIV/0!</v>
      </c>
      <c r="B47" s="19">
        <v>5</v>
      </c>
      <c r="C47" s="20">
        <v>31</v>
      </c>
      <c r="D47" s="21" t="str">
        <f>IF(C47&gt;0,CONCATENATE((VLOOKUP($C47,[4]Inscription!$A$12:$G$211,3,FALSE)),"   ",(VLOOKUP($C47,[4]Inscription!$A$12:$G$211,4,FALSE)))," ")</f>
        <v xml:space="preserve">GAILLARD GUILLAUME   </v>
      </c>
      <c r="E47" s="22"/>
      <c r="F47" s="23" t="str">
        <f>IF(C47&gt;0,(VLOOKUP($C47,[4]Inscription!$A$12:$G$211,5,FALSE))," ")</f>
        <v>GUIDON MANSLOIS</v>
      </c>
      <c r="G47" s="24" t="str">
        <f>IF(C47&gt;0,(VLOOKUP($C47,[4]Inscription!$A$12:$G$211,7,FALSE))," ")</f>
        <v>50160120043</v>
      </c>
      <c r="H47" s="23" t="str">
        <f>LEFT(IF(C47&gt;0,(VLOOKUP($C47,[4]Inscription!$A$12:$G$211,6,FALSE))," "),8)</f>
        <v>CADET</v>
      </c>
      <c r="I47" s="25" t="s">
        <v>30</v>
      </c>
    </row>
    <row r="48" spans="1:9" x14ac:dyDescent="0.25">
      <c r="A48" s="18" t="e">
        <f t="shared" si="5"/>
        <v>#DIV/0!</v>
      </c>
      <c r="B48" s="19">
        <v>6</v>
      </c>
      <c r="C48" s="20">
        <v>32</v>
      </c>
      <c r="D48" s="21" t="str">
        <f>IF(C48&gt;0,CONCATENATE((VLOOKUP($C48,[4]Inscription!$A$12:$G$211,3,FALSE)),"   ",(VLOOKUP($C48,[4]Inscription!$A$12:$G$211,4,FALSE)))," ")</f>
        <v xml:space="preserve">PHILIPPON THOMAS   </v>
      </c>
      <c r="E48" s="22"/>
      <c r="F48" s="23" t="str">
        <f>IF(C48&gt;0,(VLOOKUP($C48,[4]Inscription!$A$12:$G$211,5,FALSE))," ")</f>
        <v>GUIDON MANSLOIS</v>
      </c>
      <c r="G48" s="24" t="str">
        <f>IF(C48&gt;0,(VLOOKUP($C48,[4]Inscription!$A$12:$G$211,7,FALSE))," ")</f>
        <v>50160120081</v>
      </c>
      <c r="H48" s="23" t="str">
        <f>LEFT(IF(C48&gt;0,(VLOOKUP($C48,[4]Inscription!$A$12:$G$211,6,FALSE))," "),8)</f>
        <v>CADET</v>
      </c>
      <c r="I48" s="25" t="s">
        <v>31</v>
      </c>
    </row>
    <row r="49" spans="1:9" x14ac:dyDescent="0.25">
      <c r="A49" s="18" t="e">
        <f t="shared" si="5"/>
        <v>#DIV/0!</v>
      </c>
      <c r="B49" s="19">
        <v>7</v>
      </c>
      <c r="C49" s="20">
        <v>27</v>
      </c>
      <c r="D49" s="21" t="str">
        <f>IF(C49&gt;0,CONCATENATE((VLOOKUP($C49,[4]Inscription!$A$12:$G$211,3,FALSE)),"   ",(VLOOKUP($C49,[4]Inscription!$A$12:$G$211,4,FALSE)))," ")</f>
        <v xml:space="preserve">MARELLI BALANDIER LUCAS   </v>
      </c>
      <c r="E49" s="22"/>
      <c r="F49" s="23" t="str">
        <f>IF(C49&gt;0,(VLOOKUP($C49,[4]Inscription!$A$12:$G$211,5,FALSE))," ")</f>
        <v>UA LA ROCHEFOUCAULD</v>
      </c>
      <c r="G49" s="24" t="str">
        <f>IF(C49&gt;0,(VLOOKUP($C49,[4]Inscription!$A$12:$G$211,7,FALSE))," ")</f>
        <v>50160150160</v>
      </c>
      <c r="H49" s="23" t="str">
        <f>LEFT(IF(C49&gt;0,(VLOOKUP($C49,[4]Inscription!$A$12:$G$211,6,FALSE))," "),8)</f>
        <v>CADET</v>
      </c>
      <c r="I49" s="25" t="s">
        <v>32</v>
      </c>
    </row>
    <row r="50" spans="1:9" x14ac:dyDescent="0.25">
      <c r="A50" s="18" t="e">
        <f t="shared" si="5"/>
        <v>#DIV/0!</v>
      </c>
      <c r="B50" s="19">
        <v>8</v>
      </c>
      <c r="C50" s="20">
        <v>28</v>
      </c>
      <c r="D50" s="21" t="str">
        <f>IF(C50&gt;0,CONCATENATE((VLOOKUP($C50,[4]Inscription!$A$12:$G$211,3,FALSE)),"   ",(VLOOKUP($C50,[4]Inscription!$A$12:$G$211,4,FALSE)))," ")</f>
        <v xml:space="preserve">HUCTEAU VICTOR   </v>
      </c>
      <c r="E50" s="22"/>
      <c r="F50" s="23" t="str">
        <f>IF(C50&gt;0,(VLOOKUP($C50,[4]Inscription!$A$12:$G$211,5,FALSE))," ")</f>
        <v>ANGOULEME VELO CLUB</v>
      </c>
      <c r="G50" s="24" t="str">
        <f>IF(C50&gt;0,(VLOOKUP($C50,[4]Inscription!$A$12:$G$211,7,FALSE))," ")</f>
        <v>50161860160</v>
      </c>
      <c r="H50" s="23" t="str">
        <f>LEFT(IF(C50&gt;0,(VLOOKUP($C50,[4]Inscription!$A$12:$G$211,6,FALSE))," "),8)</f>
        <v>CADET</v>
      </c>
      <c r="I50" s="25" t="s">
        <v>33</v>
      </c>
    </row>
    <row r="51" spans="1:9" x14ac:dyDescent="0.25">
      <c r="A51" s="18" t="e">
        <f t="shared" si="5"/>
        <v>#DIV/0!</v>
      </c>
      <c r="B51" s="19">
        <v>9</v>
      </c>
      <c r="C51" s="20">
        <v>36</v>
      </c>
      <c r="D51" s="21" t="str">
        <f>IF(C51&gt;0,CONCATENATE((VLOOKUP($C51,[4]Inscription!$A$12:$G$211,3,FALSE)),"   ",(VLOOKUP($C51,[4]Inscription!$A$12:$G$211,4,FALSE)))," ")</f>
        <v xml:space="preserve">VERDOUX ZORZOLI MATHIAS   </v>
      </c>
      <c r="E51" s="22"/>
      <c r="F51" s="23" t="str">
        <f>IF(C51&gt;0,(VLOOKUP($C51,[4]Inscription!$A$12:$G$211,5,FALSE))," ")</f>
        <v>CO COURONNAIS</v>
      </c>
      <c r="G51" s="24" t="str">
        <f>IF(C51&gt;0,(VLOOKUP($C51,[4]Inscription!$A$12:$G$211,7,FALSE))," ")</f>
        <v>50160100070</v>
      </c>
      <c r="H51" s="23" t="str">
        <f>LEFT(IF(C51&gt;0,(VLOOKUP($C51,[4]Inscription!$A$12:$G$211,6,FALSE))," "),8)</f>
        <v>CADET</v>
      </c>
      <c r="I51" s="25" t="s">
        <v>34</v>
      </c>
    </row>
    <row r="52" spans="1:9" x14ac:dyDescent="0.25">
      <c r="A52" s="18" t="e">
        <f t="shared" si="5"/>
        <v>#DIV/0!</v>
      </c>
      <c r="B52" s="19">
        <v>10</v>
      </c>
      <c r="C52" s="20">
        <v>30</v>
      </c>
      <c r="D52" s="21" t="str">
        <f>IF(C52&gt;0,CONCATENATE((VLOOKUP($C52,[4]Inscription!$A$12:$G$211,3,FALSE)),"   ",(VLOOKUP($C52,[4]Inscription!$A$12:$G$211,4,FALSE)))," ")</f>
        <v xml:space="preserve">BESSON MAXENCE   </v>
      </c>
      <c r="E52" s="22"/>
      <c r="F52" s="23" t="str">
        <f>IF(C52&gt;0,(VLOOKUP($C52,[4]Inscription!$A$12:$G$211,5,FALSE))," ")</f>
        <v>GUIDON MANSLOIS</v>
      </c>
      <c r="G52" s="24" t="str">
        <f>IF(C52&gt;0,(VLOOKUP($C52,[4]Inscription!$A$12:$G$211,7,FALSE))," ")</f>
        <v>50160120116</v>
      </c>
      <c r="H52" s="23" t="str">
        <f>LEFT(IF(C52&gt;0,(VLOOKUP($C52,[4]Inscription!$A$12:$G$211,6,FALSE))," "),8)</f>
        <v>CADET</v>
      </c>
      <c r="I52" s="25" t="s">
        <v>19</v>
      </c>
    </row>
    <row r="53" spans="1:9" x14ac:dyDescent="0.25">
      <c r="A53" s="18" t="e">
        <f t="shared" si="5"/>
        <v>#DIV/0!</v>
      </c>
      <c r="B53" s="19">
        <v>11</v>
      </c>
      <c r="C53" s="20">
        <v>33</v>
      </c>
      <c r="D53" s="21" t="str">
        <f>IF(C53&gt;0,CONCATENATE((VLOOKUP($C53,[4]Inscription!$A$12:$G$211,3,FALSE)),"   ",(VLOOKUP($C53,[4]Inscription!$A$12:$G$211,4,FALSE)))," ")</f>
        <v xml:space="preserve">ESPERON FLORIAN   </v>
      </c>
      <c r="E53" s="22"/>
      <c r="F53" s="23" t="str">
        <f>IF(C53&gt;0,(VLOOKUP($C53,[4]Inscription!$A$12:$G$211,5,FALSE))," ")</f>
        <v>UC MONTPON</v>
      </c>
      <c r="G53" s="24" t="str">
        <f>IF(C53&gt;0,(VLOOKUP($C53,[4]Inscription!$A$12:$G$211,7,FALSE))," ")</f>
        <v>50242680053</v>
      </c>
      <c r="H53" s="23" t="str">
        <f>LEFT(IF(C53&gt;0,(VLOOKUP($C53,[4]Inscription!$A$12:$G$211,6,FALSE))," "),8)</f>
        <v>CADET</v>
      </c>
      <c r="I53" s="25" t="str">
        <f t="shared" ref="I53:I55" si="6">I52</f>
        <v>1T</v>
      </c>
    </row>
    <row r="54" spans="1:9" x14ac:dyDescent="0.25">
      <c r="A54" s="18"/>
      <c r="B54" s="19"/>
      <c r="C54" s="20"/>
      <c r="D54" s="21"/>
      <c r="E54" s="22"/>
      <c r="F54" s="23"/>
      <c r="G54" s="24"/>
      <c r="H54" s="23"/>
      <c r="I54" s="25"/>
    </row>
    <row r="55" spans="1:9" x14ac:dyDescent="0.25">
      <c r="A55" s="18"/>
      <c r="B55" s="19"/>
      <c r="C55" s="20"/>
      <c r="D55" s="21"/>
      <c r="E55" s="22"/>
      <c r="F55" s="23"/>
      <c r="G55" s="24"/>
      <c r="H55" s="23"/>
      <c r="I55" s="25"/>
    </row>
    <row r="58" spans="1:9" x14ac:dyDescent="0.25">
      <c r="A58" s="1" t="s">
        <v>0</v>
      </c>
      <c r="B58" s="1"/>
      <c r="C58" s="2" t="str">
        <f>CONCATENATE([5]Inscription!D59,"  ",[5]Inscription!G59)</f>
        <v xml:space="preserve">  </v>
      </c>
      <c r="D58" s="3"/>
      <c r="E58" s="3"/>
      <c r="F58" s="4"/>
      <c r="G58" s="5" t="str">
        <f>IF([5]Inscription!$D$4&gt;0,"DATE :  "&amp;TEXT([5]Inscription!D$4,"jj mmmm aaaa"),"")</f>
        <v>DATE :  17 novembre 2018</v>
      </c>
      <c r="H58" s="5"/>
      <c r="I58" s="5"/>
    </row>
    <row r="59" spans="1:9" x14ac:dyDescent="0.25">
      <c r="A59" s="6" t="s">
        <v>1</v>
      </c>
      <c r="B59" s="6"/>
      <c r="C59" s="7">
        <f>[5]Inscription!D62</f>
        <v>0</v>
      </c>
      <c r="D59" s="8"/>
      <c r="E59" s="9"/>
      <c r="F59" s="10" t="s">
        <v>2</v>
      </c>
      <c r="G59" s="11">
        <f>[5]Inscription!F65</f>
        <v>0</v>
      </c>
      <c r="H59" s="10" t="s">
        <v>3</v>
      </c>
      <c r="I59" s="11">
        <f>COUNTA(C61:C260)</f>
        <v>34</v>
      </c>
    </row>
    <row r="60" spans="1:9" ht="25.5" x14ac:dyDescent="0.25">
      <c r="A60" s="12" t="s">
        <v>4</v>
      </c>
      <c r="B60" s="13" t="s">
        <v>5</v>
      </c>
      <c r="C60" s="14" t="s">
        <v>6</v>
      </c>
      <c r="D60" s="15" t="s">
        <v>7</v>
      </c>
      <c r="E60" s="16"/>
      <c r="F60" s="14" t="s">
        <v>8</v>
      </c>
      <c r="G60" s="14" t="s">
        <v>9</v>
      </c>
      <c r="H60" s="17" t="s">
        <v>10</v>
      </c>
      <c r="I60" s="17" t="s">
        <v>11</v>
      </c>
    </row>
    <row r="61" spans="1:9" x14ac:dyDescent="0.25">
      <c r="A61" s="18" t="e">
        <f t="shared" ref="A61:A71" si="7">IF(B61&lt;1,1000,(IF(AA61=B61,B61,(20100-SUM($AA$4:$AA$203))/(COUNTIF($AA$4:$AA$203,"T")))))</f>
        <v>#DIV/0!</v>
      </c>
      <c r="B61" s="19">
        <v>1</v>
      </c>
      <c r="C61" s="20">
        <v>8</v>
      </c>
      <c r="D61" s="21" t="str">
        <f>IF(C61&gt;0,CONCATENATE((VLOOKUP($C61,[5]Inscription!$A$12:$G$211,3,FALSE)),"   ",(VLOOKUP($C61,[5]Inscription!$A$12:$G$211,4,FALSE)))," ")</f>
        <v xml:space="preserve">LETELLIER MATHEO   </v>
      </c>
      <c r="E61" s="22"/>
      <c r="F61" s="23" t="str">
        <f>IF(C61&gt;0,(VLOOKUP($C61,[5]Inscription!$A$12:$G$211,5,FALSE))," ")</f>
        <v>ANGOULEME VELO CLUB</v>
      </c>
      <c r="G61" s="24" t="str">
        <f>IF(C61&gt;0,(VLOOKUP($C61,[5]Inscription!$A$12:$G$211,7,FALSE))," ")</f>
        <v>50161860056</v>
      </c>
      <c r="H61" s="23" t="str">
        <f>LEFT(IF(C61&gt;0,(VLOOKUP($C61,[5]Inscription!$A$12:$G$211,6,FALSE))," "),8)</f>
        <v>JUNIOR</v>
      </c>
      <c r="I61" s="25" t="s">
        <v>35</v>
      </c>
    </row>
    <row r="62" spans="1:9" x14ac:dyDescent="0.25">
      <c r="A62" s="18" t="e">
        <f t="shared" si="7"/>
        <v>#DIV/0!</v>
      </c>
      <c r="B62" s="19">
        <v>2</v>
      </c>
      <c r="C62" s="20">
        <v>2</v>
      </c>
      <c r="D62" s="21" t="str">
        <f>IF(C62&gt;0,CONCATENATE((VLOOKUP($C62,[5]Inscription!$A$12:$G$211,3,FALSE)),"   ",(VLOOKUP($C62,[5]Inscription!$A$12:$G$211,4,FALSE)))," ")</f>
        <v xml:space="preserve">GAILLARD MATHEO   </v>
      </c>
      <c r="E62" s="22"/>
      <c r="F62" s="23" t="str">
        <f>IF(C62&gt;0,(VLOOKUP($C62,[5]Inscription!$A$12:$G$211,5,FALSE))," ")</f>
        <v>PSF ST FLORENT</v>
      </c>
      <c r="G62" s="24" t="str">
        <f>IF(C62&gt;0,(VLOOKUP($C62,[5]Inscription!$A$12:$G$211,7,FALSE))," ")</f>
        <v>50790590074</v>
      </c>
      <c r="H62" s="23" t="str">
        <f>LEFT(IF(C62&gt;0,(VLOOKUP($C62,[5]Inscription!$A$12:$G$211,6,FALSE))," "),8)</f>
        <v>JUNIOR</v>
      </c>
      <c r="I62" s="25" t="s">
        <v>36</v>
      </c>
    </row>
    <row r="63" spans="1:9" x14ac:dyDescent="0.25">
      <c r="A63" s="18" t="e">
        <f t="shared" si="7"/>
        <v>#DIV/0!</v>
      </c>
      <c r="B63" s="19">
        <v>3</v>
      </c>
      <c r="C63" s="20">
        <v>5</v>
      </c>
      <c r="D63" s="21" t="str">
        <f>IF(C63&gt;0,CONCATENATE((VLOOKUP($C63,[5]Inscription!$A$12:$G$211,3,FALSE)),"   ",(VLOOKUP($C63,[5]Inscription!$A$12:$G$211,4,FALSE)))," ")</f>
        <v xml:space="preserve">BOISSOU YANNICK   </v>
      </c>
      <c r="E63" s="22"/>
      <c r="F63" s="23" t="str">
        <f>IF(C63&gt;0,(VLOOKUP($C63,[5]Inscription!$A$12:$G$211,5,FALSE))," ")</f>
        <v>ASPTT VELO BRIVE AGLO</v>
      </c>
      <c r="G63" s="24" t="str">
        <f>IF(C63&gt;0,(VLOOKUP($C63,[5]Inscription!$A$12:$G$211,7,FALSE))," ")</f>
        <v>50190220213</v>
      </c>
      <c r="H63" s="23" t="str">
        <f>LEFT(IF(C63&gt;0,(VLOOKUP($C63,[5]Inscription!$A$12:$G$211,6,FALSE))," "),8)</f>
        <v>JUNIOR</v>
      </c>
      <c r="I63" s="25" t="s">
        <v>37</v>
      </c>
    </row>
    <row r="64" spans="1:9" x14ac:dyDescent="0.25">
      <c r="A64" s="18" t="e">
        <f t="shared" si="7"/>
        <v>#DIV/0!</v>
      </c>
      <c r="B64" s="19">
        <v>4</v>
      </c>
      <c r="C64" s="20">
        <v>7</v>
      </c>
      <c r="D64" s="21" t="str">
        <f>IF(C64&gt;0,CONCATENATE((VLOOKUP($C64,[5]Inscription!$A$12:$G$211,3,FALSE)),"   ",(VLOOKUP($C64,[5]Inscription!$A$12:$G$211,4,FALSE)))," ")</f>
        <v xml:space="preserve">PINEAUX AYMERIC   </v>
      </c>
      <c r="E64" s="22"/>
      <c r="F64" s="23" t="str">
        <f>IF(C64&gt;0,(VLOOKUP($C64,[5]Inscription!$A$12:$G$211,5,FALSE))," ")</f>
        <v>CO COURONNAIS</v>
      </c>
      <c r="G64" s="24" t="str">
        <f>IF(C64&gt;0,(VLOOKUP($C64,[5]Inscription!$A$12:$G$211,7,FALSE))," ")</f>
        <v>50160100063</v>
      </c>
      <c r="H64" s="23" t="str">
        <f>LEFT(IF(C64&gt;0,(VLOOKUP($C64,[5]Inscription!$A$12:$G$211,6,FALSE))," "),8)</f>
        <v>JUNIOR</v>
      </c>
      <c r="I64" s="25" t="s">
        <v>38</v>
      </c>
    </row>
    <row r="65" spans="1:9" x14ac:dyDescent="0.25">
      <c r="A65" s="18" t="e">
        <f t="shared" si="7"/>
        <v>#DIV/0!</v>
      </c>
      <c r="B65" s="19">
        <v>5</v>
      </c>
      <c r="C65" s="20">
        <v>1</v>
      </c>
      <c r="D65" s="21" t="str">
        <f>IF(C65&gt;0,CONCATENATE((VLOOKUP($C65,[5]Inscription!$A$12:$G$211,3,FALSE)),"   ",(VLOOKUP($C65,[5]Inscription!$A$12:$G$211,4,FALSE)))," ")</f>
        <v xml:space="preserve">GAUTHIER ELIAN   </v>
      </c>
      <c r="E65" s="22"/>
      <c r="F65" s="23" t="str">
        <f>IF(C65&gt;0,(VLOOKUP($C65,[5]Inscription!$A$12:$G$211,5,FALSE))," ")</f>
        <v>UA LA ROCHEFOUCAULD</v>
      </c>
      <c r="G65" s="24" t="str">
        <f>IF(C65&gt;0,(VLOOKUP($C65,[5]Inscription!$A$12:$G$211,7,FALSE))," ")</f>
        <v>50160150025</v>
      </c>
      <c r="H65" s="23" t="str">
        <f>LEFT(IF(C65&gt;0,(VLOOKUP($C65,[5]Inscription!$A$12:$G$211,6,FALSE))," "),8)</f>
        <v>JUNIOR</v>
      </c>
      <c r="I65" s="25" t="s">
        <v>39</v>
      </c>
    </row>
    <row r="66" spans="1:9" x14ac:dyDescent="0.25">
      <c r="A66" s="18" t="e">
        <f t="shared" si="7"/>
        <v>#DIV/0!</v>
      </c>
      <c r="B66" s="19">
        <v>6</v>
      </c>
      <c r="C66" s="20">
        <v>9</v>
      </c>
      <c r="D66" s="21" t="str">
        <f>IF(C66&gt;0,CONCATENATE((VLOOKUP($C66,[5]Inscription!$A$12:$G$211,3,FALSE)),"   ",(VLOOKUP($C66,[5]Inscription!$A$12:$G$211,4,FALSE)))," ")</f>
        <v xml:space="preserve">LEAUD SANDRA   </v>
      </c>
      <c r="E66" s="22"/>
      <c r="F66" s="23" t="str">
        <f>IF(C66&gt;0,(VLOOKUP($C66,[5]Inscription!$A$12:$G$211,5,FALSE))," ")</f>
        <v>CYCLE POITEVIN</v>
      </c>
      <c r="G66" s="24" t="str">
        <f>IF(C66&gt;0,(VLOOKUP($C66,[5]Inscription!$A$12:$G$211,7,FALSE))," ")</f>
        <v>50860700230</v>
      </c>
      <c r="H66" s="23" t="str">
        <f>LEFT(IF(C66&gt;0,(VLOOKUP($C66,[5]Inscription!$A$12:$G$211,6,FALSE))," "),8)</f>
        <v>FEMININE</v>
      </c>
      <c r="I66" s="25" t="s">
        <v>19</v>
      </c>
    </row>
    <row r="67" spans="1:9" x14ac:dyDescent="0.25">
      <c r="A67" s="18" t="e">
        <f t="shared" si="7"/>
        <v>#DIV/0!</v>
      </c>
      <c r="B67" s="19">
        <v>7</v>
      </c>
      <c r="C67" s="20">
        <v>4</v>
      </c>
      <c r="D67" s="21" t="str">
        <f>IF(C67&gt;0,CONCATENATE((VLOOKUP($C67,[5]Inscription!$A$12:$G$211,3,FALSE)),"   ",(VLOOKUP($C67,[5]Inscription!$A$12:$G$211,4,FALSE)))," ")</f>
        <v xml:space="preserve">SAPENA ZARAGOSA VALERIE   </v>
      </c>
      <c r="E67" s="22"/>
      <c r="F67" s="23" t="str">
        <f>IF(C67&gt;0,(VLOOKUP($C67,[5]Inscription!$A$12:$G$211,5,FALSE))," ")</f>
        <v>TC CHATEAUBERNARD</v>
      </c>
      <c r="G67" s="24" t="str">
        <f>IF(C67&gt;0,(VLOOKUP($C67,[5]Inscription!$A$12:$G$211,7,FALSE))," ")</f>
        <v>50162050097</v>
      </c>
      <c r="H67" s="23" t="str">
        <f>LEFT(IF(C67&gt;0,(VLOOKUP($C67,[5]Inscription!$A$12:$G$211,6,FALSE))," "),8)</f>
        <v>FEMININE</v>
      </c>
      <c r="I67" s="25" t="str">
        <f t="shared" ref="I67:I71" si="8">I66</f>
        <v>1T</v>
      </c>
    </row>
    <row r="68" spans="1:9" x14ac:dyDescent="0.25">
      <c r="A68" s="18" t="e">
        <f t="shared" si="7"/>
        <v>#DIV/0!</v>
      </c>
      <c r="B68" s="19">
        <v>8</v>
      </c>
      <c r="C68" s="20">
        <v>6</v>
      </c>
      <c r="D68" s="21" t="str">
        <f>IF(C68&gt;0,CONCATENATE((VLOOKUP($C68,[5]Inscription!$A$12:$G$211,3,FALSE)),"   ",(VLOOKUP($C68,[5]Inscription!$A$12:$G$211,4,FALSE)))," ")</f>
        <v xml:space="preserve">FAURE PAULINE   </v>
      </c>
      <c r="E68" s="22"/>
      <c r="F68" s="23" t="str">
        <f>IF(C68&gt;0,(VLOOKUP($C68,[5]Inscription!$A$12:$G$211,5,FALSE))," ")</f>
        <v>AC MACQUEVILLOIS</v>
      </c>
      <c r="G68" s="24" t="str">
        <f>IF(C68&gt;0,(VLOOKUP($C68,[5]Inscription!$A$12:$G$211,7,FALSE))," ")</f>
        <v>50172170069</v>
      </c>
      <c r="H68" s="23" t="str">
        <f>LEFT(IF(C68&gt;0,(VLOOKUP($C68,[5]Inscription!$A$12:$G$211,6,FALSE))," "),8)</f>
        <v>JUNIOR F</v>
      </c>
      <c r="I68" s="25" t="str">
        <f t="shared" si="8"/>
        <v>1T</v>
      </c>
    </row>
    <row r="69" spans="1:9" x14ac:dyDescent="0.25">
      <c r="A69" s="18" t="e">
        <f t="shared" si="7"/>
        <v>#DIV/0!</v>
      </c>
      <c r="B69" s="19">
        <v>9</v>
      </c>
      <c r="C69" s="20">
        <v>3</v>
      </c>
      <c r="D69" s="21" t="str">
        <f>IF(C69&gt;0,CONCATENATE((VLOOKUP($C69,[5]Inscription!$A$12:$G$211,3,FALSE)),"   ",(VLOOKUP($C69,[5]Inscription!$A$12:$G$211,4,FALSE)))," ")</f>
        <v xml:space="preserve">GAUTHIER EMELINE   </v>
      </c>
      <c r="E69" s="22"/>
      <c r="F69" s="23" t="str">
        <f>IF(C69&gt;0,(VLOOKUP($C69,[5]Inscription!$A$12:$G$211,5,FALSE))," ")</f>
        <v>UA LA ROCHEFOUCAULD</v>
      </c>
      <c r="G69" s="24" t="str">
        <f>IF(C69&gt;0,(VLOOKUP($C69,[5]Inscription!$A$12:$G$211,7,FALSE))," ")</f>
        <v>50160150050</v>
      </c>
      <c r="H69" s="23" t="str">
        <f>LEFT(IF(C69&gt;0,(VLOOKUP($C69,[5]Inscription!$A$12:$G$211,6,FALSE))," "),8)</f>
        <v>JUNIOR F</v>
      </c>
      <c r="I69" s="25" t="str">
        <f t="shared" si="8"/>
        <v>1T</v>
      </c>
    </row>
    <row r="70" spans="1:9" x14ac:dyDescent="0.25">
      <c r="A70" s="18"/>
      <c r="B70" s="19"/>
      <c r="C70" s="20"/>
      <c r="D70" s="21"/>
      <c r="E70" s="22"/>
      <c r="F70" s="23"/>
      <c r="G70" s="24"/>
      <c r="H70" s="23"/>
      <c r="I70" s="25"/>
    </row>
    <row r="71" spans="1:9" x14ac:dyDescent="0.25">
      <c r="A71" s="18"/>
      <c r="B71" s="19"/>
      <c r="C71" s="20"/>
      <c r="D71" s="21"/>
      <c r="E71" s="22"/>
      <c r="F71" s="23"/>
      <c r="G71" s="24"/>
      <c r="H71" s="23"/>
      <c r="I71" s="25"/>
    </row>
    <row r="74" spans="1:9" x14ac:dyDescent="0.25">
      <c r="A74" s="1" t="s">
        <v>0</v>
      </c>
      <c r="B74" s="1"/>
      <c r="C74" s="2" t="str">
        <f>CONCATENATE([6]Inscription!D75,"  ",[6]Inscription!G75)</f>
        <v xml:space="preserve">  </v>
      </c>
      <c r="D74" s="3"/>
      <c r="E74" s="3"/>
      <c r="F74" s="4"/>
      <c r="G74" s="5" t="str">
        <f>IF([6]Inscription!$D$4&gt;0,"DATE :  "&amp;TEXT([6]Inscription!D$4,"jj mmmm aaaa"),"")</f>
        <v>DATE :  17 novembre 2018</v>
      </c>
      <c r="H74" s="5"/>
      <c r="I74" s="5"/>
    </row>
    <row r="75" spans="1:9" x14ac:dyDescent="0.25">
      <c r="A75" s="6" t="s">
        <v>1</v>
      </c>
      <c r="B75" s="6"/>
      <c r="C75" s="7">
        <f>[6]Inscription!D78</f>
        <v>0</v>
      </c>
      <c r="D75" s="8"/>
      <c r="E75" s="9"/>
      <c r="F75" s="10" t="s">
        <v>2</v>
      </c>
      <c r="G75" s="11">
        <f>[6]Inscription!F81</f>
        <v>0</v>
      </c>
      <c r="H75" s="10" t="s">
        <v>3</v>
      </c>
      <c r="I75" s="11">
        <f>COUNTA(C77:C276)</f>
        <v>22</v>
      </c>
    </row>
    <row r="76" spans="1:9" ht="25.5" x14ac:dyDescent="0.25">
      <c r="A76" s="12" t="s">
        <v>4</v>
      </c>
      <c r="B76" s="13" t="s">
        <v>5</v>
      </c>
      <c r="C76" s="14" t="s">
        <v>6</v>
      </c>
      <c r="D76" s="15" t="s">
        <v>7</v>
      </c>
      <c r="E76" s="16"/>
      <c r="F76" s="14" t="s">
        <v>8</v>
      </c>
      <c r="G76" s="14" t="s">
        <v>9</v>
      </c>
      <c r="H76" s="17" t="s">
        <v>10</v>
      </c>
      <c r="I76" s="17" t="s">
        <v>11</v>
      </c>
    </row>
    <row r="77" spans="1:9" x14ac:dyDescent="0.25">
      <c r="A77" s="18" t="e">
        <f t="shared" ref="A77:A100" si="9">IF(B77&lt;1,1000,(IF(AA77=B77,B77,(20100-SUM($AA$4:$AA$203))/(COUNTIF($AA$4:$AA$203,"T")))))</f>
        <v>#DIV/0!</v>
      </c>
      <c r="B77" s="19">
        <v>1</v>
      </c>
      <c r="C77" s="20">
        <v>5</v>
      </c>
      <c r="D77" s="21" t="str">
        <f>IF(C77&gt;0,CONCATENATE((VLOOKUP($C77,[6]Inscription!$A$12:$G$211,3,FALSE)),"   ",(VLOOKUP($C77,[6]Inscription!$A$12:$G$211,4,FALSE)))," ")</f>
        <v xml:space="preserve">MAINGUENAUD TOM   </v>
      </c>
      <c r="E77" s="22"/>
      <c r="F77" s="23" t="str">
        <f>IF(C77&gt;0,(VLOOKUP($C77,[6]Inscription!$A$12:$G$211,5,FALSE))," ")</f>
        <v>ANGOULEME VELO CLUB</v>
      </c>
      <c r="G77" s="24" t="str">
        <f>IF(C77&gt;0,(VLOOKUP($C77,[6]Inscription!$A$12:$G$211,7,FALSE))," ")</f>
        <v>50161860173</v>
      </c>
      <c r="H77" s="23" t="str">
        <f>LEFT(IF(C77&gt;0,(VLOOKUP($C77,[6]Inscription!$A$12:$G$211,6,FALSE))," "),8)</f>
        <v>ESPOIR</v>
      </c>
      <c r="I77" s="25" t="s">
        <v>40</v>
      </c>
    </row>
    <row r="78" spans="1:9" x14ac:dyDescent="0.25">
      <c r="A78" s="18" t="e">
        <f t="shared" si="9"/>
        <v>#DIV/0!</v>
      </c>
      <c r="B78" s="19">
        <v>2</v>
      </c>
      <c r="C78" s="20">
        <v>12</v>
      </c>
      <c r="D78" s="21" t="str">
        <f>IF(C78&gt;0,CONCATENATE((VLOOKUP($C78,[6]Inscription!$A$12:$G$211,3,FALSE)),"   ",(VLOOKUP($C78,[6]Inscription!$A$12:$G$211,4,FALSE)))," ")</f>
        <v xml:space="preserve">HERBRETEAU LOIC   </v>
      </c>
      <c r="E78" s="22"/>
      <c r="F78" s="23" t="str">
        <f>IF(C78&gt;0,(VLOOKUP($C78,[6]Inscription!$A$12:$G$211,5,FALSE))," ")</f>
        <v>CC MARMANDAIS</v>
      </c>
      <c r="G78" s="24" t="str">
        <f>IF(C78&gt;0,(VLOOKUP($C78,[6]Inscription!$A$12:$G$211,7,FALSE))," ")</f>
        <v>50472070100</v>
      </c>
      <c r="H78" s="23" t="str">
        <f>LEFT(IF(C78&gt;0,(VLOOKUP($C78,[6]Inscription!$A$12:$G$211,6,FALSE))," "),8)</f>
        <v>SENIOR</v>
      </c>
      <c r="I78" s="25" t="s">
        <v>41</v>
      </c>
    </row>
    <row r="79" spans="1:9" x14ac:dyDescent="0.25">
      <c r="A79" s="18" t="e">
        <f t="shared" si="9"/>
        <v>#DIV/0!</v>
      </c>
      <c r="B79" s="19">
        <v>3</v>
      </c>
      <c r="C79" s="20">
        <v>16</v>
      </c>
      <c r="D79" s="21" t="str">
        <f>IF(C79&gt;0,CONCATENATE((VLOOKUP($C79,[6]Inscription!$A$12:$G$211,3,FALSE)),"   ",(VLOOKUP($C79,[6]Inscription!$A$12:$G$211,4,FALSE)))," ")</f>
        <v xml:space="preserve">PAILLOT YOANN   </v>
      </c>
      <c r="E79" s="22"/>
      <c r="F79" s="23" t="str">
        <f>IF(C79&gt;0,(VLOOKUP($C79,[6]Inscription!$A$12:$G$211,5,FALSE))," ")</f>
        <v>CO COURONNAIS</v>
      </c>
      <c r="G79" s="24" t="str">
        <f>IF(C79&gt;0,(VLOOKUP($C79,[6]Inscription!$A$12:$G$211,7,FALSE))," ")</f>
        <v>50160100168</v>
      </c>
      <c r="H79" s="23" t="str">
        <f>LEFT(IF(C79&gt;0,(VLOOKUP($C79,[6]Inscription!$A$12:$G$211,6,FALSE))," "),8)</f>
        <v>SENIOR</v>
      </c>
      <c r="I79" s="25" t="s">
        <v>42</v>
      </c>
    </row>
    <row r="80" spans="1:9" x14ac:dyDescent="0.25">
      <c r="A80" s="18" t="e">
        <f t="shared" si="9"/>
        <v>#DIV/0!</v>
      </c>
      <c r="B80" s="19">
        <v>4</v>
      </c>
      <c r="C80" s="20">
        <v>9</v>
      </c>
      <c r="D80" s="21" t="str">
        <f>IF(C80&gt;0,CONCATENATE((VLOOKUP($C80,[6]Inscription!$A$12:$G$211,3,FALSE)),"   ",(VLOOKUP($C80,[6]Inscription!$A$12:$G$211,4,FALSE)))," ")</f>
        <v xml:space="preserve">CHAMINAUD ROMAIN   </v>
      </c>
      <c r="E80" s="22"/>
      <c r="F80" s="23" t="str">
        <f>IF(C80&gt;0,(VLOOKUP($C80,[6]Inscription!$A$12:$G$211,5,FALSE))," ")</f>
        <v>VC BAZAS BERNOS</v>
      </c>
      <c r="G80" s="24" t="str">
        <f>IF(C80&gt;0,(VLOOKUP($C80,[6]Inscription!$A$12:$G$211,7,FALSE))," ")</f>
        <v>50330150034</v>
      </c>
      <c r="H80" s="23" t="str">
        <f>LEFT(IF(C80&gt;0,(VLOOKUP($C80,[6]Inscription!$A$12:$G$211,6,FALSE))," "),8)</f>
        <v>ESPOIR</v>
      </c>
      <c r="I80" s="25" t="s">
        <v>43</v>
      </c>
    </row>
    <row r="81" spans="1:9" x14ac:dyDescent="0.25">
      <c r="A81" s="18" t="e">
        <f t="shared" si="9"/>
        <v>#DIV/0!</v>
      </c>
      <c r="B81" s="19">
        <v>5</v>
      </c>
      <c r="C81" s="20">
        <v>1</v>
      </c>
      <c r="D81" s="21" t="str">
        <f>IF(C81&gt;0,CONCATENATE((VLOOKUP($C81,[6]Inscription!$A$12:$G$211,3,FALSE)),"   ",(VLOOKUP($C81,[6]Inscription!$A$12:$G$211,4,FALSE)))," ")</f>
        <v xml:space="preserve">GAUTHIER PIERRICK   </v>
      </c>
      <c r="E81" s="22"/>
      <c r="F81" s="23" t="str">
        <f>IF(C81&gt;0,(VLOOKUP($C81,[6]Inscription!$A$12:$G$211,5,FALSE))," ")</f>
        <v>AL GOND PONTOUVRE</v>
      </c>
      <c r="G81" s="24" t="str">
        <f>IF(C81&gt;0,(VLOOKUP($C81,[6]Inscription!$A$12:$G$211,7,FALSE))," ")</f>
        <v>50161640027</v>
      </c>
      <c r="H81" s="23" t="str">
        <f>LEFT(IF(C81&gt;0,(VLOOKUP($C81,[6]Inscription!$A$12:$G$211,6,FALSE))," "),8)</f>
        <v xml:space="preserve">SENIOR </v>
      </c>
      <c r="I81" s="25" t="s">
        <v>44</v>
      </c>
    </row>
    <row r="82" spans="1:9" x14ac:dyDescent="0.25">
      <c r="A82" s="18" t="e">
        <f t="shared" si="9"/>
        <v>#DIV/0!</v>
      </c>
      <c r="B82" s="19">
        <v>6</v>
      </c>
      <c r="C82" s="20">
        <v>18</v>
      </c>
      <c r="D82" s="21" t="str">
        <f>IF(C82&gt;0,CONCATENATE((VLOOKUP($C82,[6]Inscription!$A$12:$G$211,3,FALSE)),"   ",(VLOOKUP($C82,[6]Inscription!$A$12:$G$211,4,FALSE)))," ")</f>
        <v xml:space="preserve">CRON YOHANN   </v>
      </c>
      <c r="E82" s="22"/>
      <c r="F82" s="23" t="str">
        <f>IF(C82&gt;0,(VLOOKUP($C82,[6]Inscription!$A$12:$G$211,5,FALSE))," ")</f>
        <v>UV ANGERIENNE</v>
      </c>
      <c r="G82" s="24" t="str">
        <f>IF(C82&gt;0,(VLOOKUP($C82,[6]Inscription!$A$12:$G$211,7,FALSE))," ")</f>
        <v>50170530022</v>
      </c>
      <c r="H82" s="23" t="str">
        <f>LEFT(IF(C82&gt;0,(VLOOKUP($C82,[6]Inscription!$A$12:$G$211,6,FALSE))," "),8)</f>
        <v xml:space="preserve">SENIOR </v>
      </c>
      <c r="I82" s="25" t="s">
        <v>45</v>
      </c>
    </row>
    <row r="83" spans="1:9" x14ac:dyDescent="0.25">
      <c r="A83" s="18" t="e">
        <f t="shared" si="9"/>
        <v>#DIV/0!</v>
      </c>
      <c r="B83" s="19">
        <v>7</v>
      </c>
      <c r="C83" s="20">
        <v>17</v>
      </c>
      <c r="D83" s="21" t="str">
        <f>IF(C83&gt;0,CONCATENATE((VLOOKUP($C83,[6]Inscription!$A$12:$G$211,3,FALSE)),"   ",(VLOOKUP($C83,[6]Inscription!$A$12:$G$211,4,FALSE)))," ")</f>
        <v xml:space="preserve">RAMBEAU JEREMY   </v>
      </c>
      <c r="E83" s="22"/>
      <c r="F83" s="23" t="str">
        <f>IF(C83&gt;0,(VLOOKUP($C83,[6]Inscription!$A$12:$G$211,5,FALSE))," ")</f>
        <v>CO COURONNAIS</v>
      </c>
      <c r="G83" s="24" t="str">
        <f>IF(C83&gt;0,(VLOOKUP($C83,[6]Inscription!$A$12:$G$211,7,FALSE))," ")</f>
        <v>50160100305</v>
      </c>
      <c r="H83" s="23" t="str">
        <f>LEFT(IF(C83&gt;0,(VLOOKUP($C83,[6]Inscription!$A$12:$G$211,6,FALSE))," "),8)</f>
        <v>ESPOIR</v>
      </c>
      <c r="I83" s="25" t="s">
        <v>46</v>
      </c>
    </row>
    <row r="84" spans="1:9" x14ac:dyDescent="0.25">
      <c r="A84" s="18" t="e">
        <f t="shared" si="9"/>
        <v>#DIV/0!</v>
      </c>
      <c r="B84" s="19">
        <v>8</v>
      </c>
      <c r="C84" s="20">
        <v>23</v>
      </c>
      <c r="D84" s="21" t="str">
        <f>IF(C84&gt;0,CONCATENATE((VLOOKUP($C84,[6]Inscription!$A$12:$G$211,3,FALSE)),"   ",(VLOOKUP($C84,[6]Inscription!$A$12:$G$211,4,FALSE)))," ")</f>
        <v xml:space="preserve">LARPE KILIAN    </v>
      </c>
      <c r="E84" s="22"/>
      <c r="F84" s="23" t="str">
        <f>IF(C84&gt;0,(VLOOKUP($C84,[6]Inscription!$A$12:$G$211,5,FALSE))," ")</f>
        <v>TEAM U CUBE 17</v>
      </c>
      <c r="G84" s="24" t="str">
        <f>IF(C84&gt;0,(VLOOKUP($C84,[6]Inscription!$A$12:$G$211,7,FALSE))," ")</f>
        <v>50171400071</v>
      </c>
      <c r="H84" s="23" t="str">
        <f>LEFT(IF(C84&gt;0,(VLOOKUP($C84,[6]Inscription!$A$12:$G$211,6,FALSE))," "),8)</f>
        <v>SENIOR</v>
      </c>
      <c r="I84" s="25" t="s">
        <v>47</v>
      </c>
    </row>
    <row r="85" spans="1:9" x14ac:dyDescent="0.25">
      <c r="A85" s="18" t="e">
        <f t="shared" si="9"/>
        <v>#DIV/0!</v>
      </c>
      <c r="B85" s="19">
        <v>9</v>
      </c>
      <c r="C85" s="20">
        <v>19</v>
      </c>
      <c r="D85" s="21" t="str">
        <f>IF(C85&gt;0,CONCATENATE((VLOOKUP($C85,[6]Inscription!$A$12:$G$211,3,FALSE)),"   ",(VLOOKUP($C85,[6]Inscription!$A$12:$G$211,4,FALSE)))," ")</f>
        <v xml:space="preserve">HAMON KEVIN   </v>
      </c>
      <c r="E85" s="22"/>
      <c r="F85" s="23" t="str">
        <f>IF(C85&gt;0,(VLOOKUP($C85,[6]Inscription!$A$12:$G$211,5,FALSE))," ")</f>
        <v>DESTINATION MTB RACE</v>
      </c>
      <c r="G85" s="24" t="str">
        <f>IF(C85&gt;0,(VLOOKUP($C85,[6]Inscription!$A$12:$G$211,7,FALSE))," ")</f>
        <v>50792250014</v>
      </c>
      <c r="H85" s="23" t="str">
        <f>LEFT(IF(C85&gt;0,(VLOOKUP($C85,[6]Inscription!$A$12:$G$211,6,FALSE))," "),8)</f>
        <v>SENIOR</v>
      </c>
      <c r="I85" s="25" t="s">
        <v>48</v>
      </c>
    </row>
    <row r="86" spans="1:9" x14ac:dyDescent="0.25">
      <c r="A86" s="18" t="e">
        <f t="shared" si="9"/>
        <v>#DIV/0!</v>
      </c>
      <c r="B86" s="19">
        <v>10</v>
      </c>
      <c r="C86" s="20">
        <v>10</v>
      </c>
      <c r="D86" s="21" t="str">
        <f>IF(C86&gt;0,CONCATENATE((VLOOKUP($C86,[6]Inscription!$A$12:$G$211,3,FALSE)),"   ",(VLOOKUP($C86,[6]Inscription!$A$12:$G$211,4,FALSE)))," ")</f>
        <v xml:space="preserve">BAUCHAUD ARTHUR   </v>
      </c>
      <c r="E86" s="22"/>
      <c r="F86" s="23" t="str">
        <f>IF(C86&gt;0,(VLOOKUP($C86,[6]Inscription!$A$12:$G$211,5,FALSE))," ")</f>
        <v>UA LA ROCHEFOUCAULD</v>
      </c>
      <c r="G86" s="24" t="str">
        <f>IF(C86&gt;0,(VLOOKUP($C86,[6]Inscription!$A$12:$G$211,7,FALSE))," ")</f>
        <v>50160150210</v>
      </c>
      <c r="H86" s="23" t="str">
        <f>LEFT(IF(C86&gt;0,(VLOOKUP($C86,[6]Inscription!$A$12:$G$211,6,FALSE))," "),8)</f>
        <v>ESPOIR</v>
      </c>
      <c r="I86" s="25" t="s">
        <v>49</v>
      </c>
    </row>
    <row r="87" spans="1:9" x14ac:dyDescent="0.25">
      <c r="A87" s="18" t="e">
        <f t="shared" si="9"/>
        <v>#DIV/0!</v>
      </c>
      <c r="B87" s="19">
        <v>11</v>
      </c>
      <c r="C87" s="20">
        <v>4</v>
      </c>
      <c r="D87" s="21" t="str">
        <f>IF(C87&gt;0,CONCATENATE((VLOOKUP($C87,[6]Inscription!$A$12:$G$211,3,FALSE)),"   ",(VLOOKUP($C87,[6]Inscription!$A$12:$G$211,4,FALSE)))," ")</f>
        <v xml:space="preserve">FUSILLER SIMON   </v>
      </c>
      <c r="E87" s="22"/>
      <c r="F87" s="23" t="str">
        <f>IF(C87&gt;0,(VLOOKUP($C87,[6]Inscription!$A$12:$G$211,5,FALSE))," ")</f>
        <v>GUIDON MANSLOIS</v>
      </c>
      <c r="G87" s="24" t="str">
        <f>IF(C87&gt;0,(VLOOKUP($C87,[6]Inscription!$A$12:$G$211,7,FALSE))," ")</f>
        <v>50160120057</v>
      </c>
      <c r="H87" s="23" t="str">
        <f>LEFT(IF(C87&gt;0,(VLOOKUP($C87,[6]Inscription!$A$12:$G$211,6,FALSE))," "),8)</f>
        <v>ESPOIR</v>
      </c>
      <c r="I87" s="25" t="s">
        <v>50</v>
      </c>
    </row>
    <row r="88" spans="1:9" x14ac:dyDescent="0.25">
      <c r="A88" s="18" t="e">
        <f t="shared" si="9"/>
        <v>#DIV/0!</v>
      </c>
      <c r="B88" s="19">
        <v>12</v>
      </c>
      <c r="C88" s="20">
        <v>20</v>
      </c>
      <c r="D88" s="21" t="str">
        <f>IF(C88&gt;0,CONCATENATE((VLOOKUP($C88,[6]Inscription!$A$12:$G$211,3,FALSE)),"   ",(VLOOKUP($C88,[6]Inscription!$A$12:$G$211,4,FALSE)))," ")</f>
        <v xml:space="preserve">TROCHON CHRISTOPHE   </v>
      </c>
      <c r="E88" s="22"/>
      <c r="F88" s="23" t="str">
        <f>IF(C88&gt;0,(VLOOKUP($C88,[6]Inscription!$A$12:$G$211,5,FALSE))," ")</f>
        <v>CYCLE POITEVIN</v>
      </c>
      <c r="G88" s="24" t="str">
        <f>IF(C88&gt;0,(VLOOKUP($C88,[6]Inscription!$A$12:$G$211,7,FALSE))," ")</f>
        <v>50860700024</v>
      </c>
      <c r="H88" s="23" t="str">
        <f>LEFT(IF(C88&gt;0,(VLOOKUP($C88,[6]Inscription!$A$12:$G$211,6,FALSE))," "),8)</f>
        <v>SENIOR</v>
      </c>
      <c r="I88" s="25" t="s">
        <v>50</v>
      </c>
    </row>
    <row r="89" spans="1:9" x14ac:dyDescent="0.25">
      <c r="A89" s="18" t="e">
        <f t="shared" si="9"/>
        <v>#DIV/0!</v>
      </c>
      <c r="B89" s="19">
        <v>13</v>
      </c>
      <c r="C89" s="20">
        <v>22</v>
      </c>
      <c r="D89" s="21" t="str">
        <f>IF(C89&gt;0,CONCATENATE((VLOOKUP($C89,[6]Inscription!$A$12:$G$211,3,FALSE)),"   ",(VLOOKUP($C89,[6]Inscription!$A$12:$G$211,4,FALSE)))," ")</f>
        <v xml:space="preserve">MAHE ANTOINE   </v>
      </c>
      <c r="E89" s="22"/>
      <c r="F89" s="23" t="str">
        <f>IF(C89&gt;0,(VLOOKUP($C89,[6]Inscription!$A$12:$G$211,5,FALSE))," ")</f>
        <v>CC MARMANDAIS</v>
      </c>
      <c r="G89" s="24" t="str">
        <f>IF(C89&gt;0,(VLOOKUP($C89,[6]Inscription!$A$12:$G$211,7,FALSE))," ")</f>
        <v>50472070590</v>
      </c>
      <c r="H89" s="23" t="str">
        <f>LEFT(IF(C89&gt;0,(VLOOKUP($C89,[6]Inscription!$A$12:$G$211,6,FALSE))," "),8)</f>
        <v>ESPOIR</v>
      </c>
      <c r="I89" s="25" t="s">
        <v>50</v>
      </c>
    </row>
    <row r="90" spans="1:9" x14ac:dyDescent="0.25">
      <c r="A90" s="18" t="e">
        <f t="shared" si="9"/>
        <v>#DIV/0!</v>
      </c>
      <c r="B90" s="19">
        <v>14</v>
      </c>
      <c r="C90" s="20">
        <v>3</v>
      </c>
      <c r="D90" s="21" t="str">
        <f>IF(C90&gt;0,CONCATENATE((VLOOKUP($C90,[6]Inscription!$A$12:$G$211,3,FALSE)),"   ",(VLOOKUP($C90,[6]Inscription!$A$12:$G$211,4,FALSE)))," ")</f>
        <v xml:space="preserve">FUSILLER NICOLAS   </v>
      </c>
      <c r="E90" s="22"/>
      <c r="F90" s="23" t="str">
        <f>IF(C90&gt;0,(VLOOKUP($C90,[6]Inscription!$A$12:$G$211,5,FALSE))," ")</f>
        <v>TEAM CHATOU CYCLISTE</v>
      </c>
      <c r="G90" s="24" t="str">
        <f>IF(C90&gt;0,(VLOOKUP($C90,[6]Inscription!$A$12:$G$211,7,FALSE))," ")</f>
        <v>48782120087</v>
      </c>
      <c r="H90" s="23" t="str">
        <f>LEFT(IF(C90&gt;0,(VLOOKUP($C90,[6]Inscription!$A$12:$G$211,6,FALSE))," "),8)</f>
        <v xml:space="preserve">SENIOR </v>
      </c>
      <c r="I90" s="25" t="s">
        <v>50</v>
      </c>
    </row>
    <row r="91" spans="1:9" x14ac:dyDescent="0.25">
      <c r="A91" s="18" t="e">
        <f t="shared" si="9"/>
        <v>#DIV/0!</v>
      </c>
      <c r="B91" s="19">
        <v>15</v>
      </c>
      <c r="C91" s="20">
        <v>21</v>
      </c>
      <c r="D91" s="21" t="str">
        <f>IF(C91&gt;0,CONCATENATE((VLOOKUP($C91,[6]Inscription!$A$12:$G$211,3,FALSE)),"   ",(VLOOKUP($C91,[6]Inscription!$A$12:$G$211,4,FALSE)))," ")</f>
        <v xml:space="preserve">LAGARDE MICHEL   </v>
      </c>
      <c r="E91" s="22"/>
      <c r="F91" s="23" t="str">
        <f>IF(C91&gt;0,(VLOOKUP($C91,[6]Inscription!$A$12:$G$211,5,FALSE))," ")</f>
        <v>CYCLE POITEVIN</v>
      </c>
      <c r="G91" s="24" t="str">
        <f>IF(C91&gt;0,(VLOOKUP($C91,[6]Inscription!$A$12:$G$211,7,FALSE))," ")</f>
        <v>50860700279</v>
      </c>
      <c r="H91" s="23" t="str">
        <f>LEFT(IF(C91&gt;0,(VLOOKUP($C91,[6]Inscription!$A$12:$G$211,6,FALSE))," "),8)</f>
        <v>SENIOR</v>
      </c>
      <c r="I91" s="25" t="s">
        <v>50</v>
      </c>
    </row>
    <row r="92" spans="1:9" x14ac:dyDescent="0.25">
      <c r="A92" s="18" t="e">
        <f t="shared" si="9"/>
        <v>#DIV/0!</v>
      </c>
      <c r="B92" s="19">
        <v>16</v>
      </c>
      <c r="C92" s="20">
        <v>8</v>
      </c>
      <c r="D92" s="21" t="str">
        <f>IF(C92&gt;0,CONCATENATE((VLOOKUP($C92,[6]Inscription!$A$12:$G$211,3,FALSE)),"   ",(VLOOKUP($C92,[6]Inscription!$A$12:$G$211,4,FALSE)))," ")</f>
        <v xml:space="preserve">HIBBERD GEORGES   </v>
      </c>
      <c r="E92" s="22"/>
      <c r="F92" s="23" t="str">
        <f>IF(C92&gt;0,(VLOOKUP($C92,[6]Inscription!$A$12:$G$211,5,FALSE))," ")</f>
        <v>CC VERVANT</v>
      </c>
      <c r="G92" s="24" t="str">
        <f>IF(C92&gt;0,(VLOOKUP($C92,[6]Inscription!$A$12:$G$211,7,FALSE))," ")</f>
        <v>50170790036</v>
      </c>
      <c r="H92" s="23" t="str">
        <f>LEFT(IF(C92&gt;0,(VLOOKUP($C92,[6]Inscription!$A$12:$G$211,6,FALSE))," "),8)</f>
        <v>ESPOIR</v>
      </c>
      <c r="I92" s="25" t="s">
        <v>50</v>
      </c>
    </row>
    <row r="93" spans="1:9" x14ac:dyDescent="0.25">
      <c r="A93" s="18" t="e">
        <f t="shared" si="9"/>
        <v>#DIV/0!</v>
      </c>
      <c r="B93" s="19">
        <v>17</v>
      </c>
      <c r="C93" s="20">
        <v>11</v>
      </c>
      <c r="D93" s="21" t="str">
        <f>IF(C93&gt;0,CONCATENATE((VLOOKUP($C93,[6]Inscription!$A$12:$G$211,3,FALSE)),"   ",(VLOOKUP($C93,[6]Inscription!$A$12:$G$211,4,FALSE)))," ")</f>
        <v xml:space="preserve">MOUGNEAU STEVEN   </v>
      </c>
      <c r="E93" s="22"/>
      <c r="F93" s="23" t="str">
        <f>IF(C93&gt;0,(VLOOKUP($C93,[6]Inscription!$A$12:$G$211,5,FALSE))," ")</f>
        <v>VTT MONTAGRIER</v>
      </c>
      <c r="G93" s="24" t="str">
        <f>IF(C93&gt;0,(VLOOKUP($C93,[6]Inscription!$A$12:$G$211,7,FALSE))," ")</f>
        <v>50242750155</v>
      </c>
      <c r="H93" s="23" t="str">
        <f>LEFT(IF(C93&gt;0,(VLOOKUP($C93,[6]Inscription!$A$12:$G$211,6,FALSE))," "),8)</f>
        <v>ESPOIR</v>
      </c>
      <c r="I93" s="25" t="s">
        <v>50</v>
      </c>
    </row>
    <row r="94" spans="1:9" x14ac:dyDescent="0.25">
      <c r="A94" s="18" t="e">
        <f t="shared" si="9"/>
        <v>#DIV/0!</v>
      </c>
      <c r="B94" s="19">
        <v>18</v>
      </c>
      <c r="C94" s="20">
        <v>14</v>
      </c>
      <c r="D94" s="21" t="str">
        <f>IF(C94&gt;0,CONCATENATE((VLOOKUP($C94,[6]Inscription!$A$12:$G$211,3,FALSE)),"   ",(VLOOKUP($C94,[6]Inscription!$A$12:$G$211,4,FALSE)))," ")</f>
        <v xml:space="preserve">PAILLOT JULIEN   </v>
      </c>
      <c r="E94" s="22"/>
      <c r="F94" s="23" t="str">
        <f>IF(C94&gt;0,(VLOOKUP($C94,[6]Inscription!$A$12:$G$211,5,FALSE))," ")</f>
        <v>AC NERSAC</v>
      </c>
      <c r="G94" s="24" t="str">
        <f>IF(C94&gt;0,(VLOOKUP($C94,[6]Inscription!$A$12:$G$211,7,FALSE))," ")</f>
        <v>50160140012</v>
      </c>
      <c r="H94" s="23" t="str">
        <f>LEFT(IF(C94&gt;0,(VLOOKUP($C94,[6]Inscription!$A$12:$G$211,6,FALSE))," "),8)</f>
        <v xml:space="preserve">SENIOR </v>
      </c>
      <c r="I94" s="25" t="s">
        <v>50</v>
      </c>
    </row>
    <row r="95" spans="1:9" x14ac:dyDescent="0.25">
      <c r="A95" s="18" t="e">
        <f t="shared" si="9"/>
        <v>#DIV/0!</v>
      </c>
      <c r="B95" s="19">
        <v>19</v>
      </c>
      <c r="C95" s="20">
        <v>15</v>
      </c>
      <c r="D95" s="21" t="str">
        <f>IF(C95&gt;0,CONCATENATE((VLOOKUP($C95,[6]Inscription!$A$12:$G$211,3,FALSE)),"   ",(VLOOKUP($C95,[6]Inscription!$A$12:$G$211,4,FALSE)))," ")</f>
        <v xml:space="preserve">LABROUSSE CHRISTIAN   </v>
      </c>
      <c r="E95" s="22"/>
      <c r="F95" s="23" t="str">
        <f>IF(C95&gt;0,(VLOOKUP($C95,[6]Inscription!$A$12:$G$211,5,FALSE))," ")</f>
        <v>TEAM CYCLISTE SUPER U</v>
      </c>
      <c r="G95" s="24" t="str">
        <f>IF(C95&gt;0,(VLOOKUP($C95,[6]Inscription!$A$12:$G$211,7,FALSE))," ")</f>
        <v>50172150001</v>
      </c>
      <c r="H95" s="23" t="str">
        <f>LEFT(IF(C95&gt;0,(VLOOKUP($C95,[6]Inscription!$A$12:$G$211,6,FALSE))," "),8)</f>
        <v xml:space="preserve">SENIOR </v>
      </c>
      <c r="I95" s="25" t="s">
        <v>50</v>
      </c>
    </row>
    <row r="96" spans="1:9" x14ac:dyDescent="0.25">
      <c r="A96" s="18" t="e">
        <f t="shared" si="9"/>
        <v>#DIV/0!</v>
      </c>
      <c r="B96" s="19">
        <v>20</v>
      </c>
      <c r="C96" s="20">
        <v>7</v>
      </c>
      <c r="D96" s="21" t="str">
        <f>IF(C96&gt;0,CONCATENATE((VLOOKUP($C96,[6]Inscription!$A$12:$G$211,3,FALSE)),"   ",(VLOOKUP($C96,[6]Inscription!$A$12:$G$211,4,FALSE)))," ")</f>
        <v xml:space="preserve">BONNIN DAVID   </v>
      </c>
      <c r="E96" s="22"/>
      <c r="F96" s="23" t="str">
        <f>IF(C96&gt;0,(VLOOKUP($C96,[6]Inscription!$A$12:$G$211,5,FALSE))," ")</f>
        <v>CC VERVANT</v>
      </c>
      <c r="G96" s="24" t="str">
        <f>IF(C96&gt;0,(VLOOKUP($C96,[6]Inscription!$A$12:$G$211,7,FALSE))," ")</f>
        <v>50170790008</v>
      </c>
      <c r="H96" s="23" t="str">
        <f>LEFT(IF(C96&gt;0,(VLOOKUP($C96,[6]Inscription!$A$12:$G$211,6,FALSE))," "),8)</f>
        <v xml:space="preserve">SENIOR </v>
      </c>
      <c r="I96" s="25" t="s">
        <v>50</v>
      </c>
    </row>
    <row r="97" spans="1:9" x14ac:dyDescent="0.25">
      <c r="A97" s="18" t="e">
        <f t="shared" si="9"/>
        <v>#DIV/0!</v>
      </c>
      <c r="B97" s="19">
        <v>21</v>
      </c>
      <c r="C97" s="20">
        <v>13</v>
      </c>
      <c r="D97" s="21" t="str">
        <f>IF(C97&gt;0,CONCATENATE((VLOOKUP($C97,[6]Inscription!$A$12:$G$211,3,FALSE)),"   ",(VLOOKUP($C97,[6]Inscription!$A$12:$G$211,4,FALSE)))," ")</f>
        <v xml:space="preserve">RAMBEAU ALAIN   </v>
      </c>
      <c r="E97" s="22"/>
      <c r="F97" s="23" t="str">
        <f>IF(C97&gt;0,(VLOOKUP($C97,[6]Inscription!$A$12:$G$211,5,FALSE))," ")</f>
        <v>GUIDON MANSLOIS</v>
      </c>
      <c r="G97" s="24" t="str">
        <f>IF(C97&gt;0,(VLOOKUP($C97,[6]Inscription!$A$12:$G$211,7,FALSE))," ")</f>
        <v>50160120013</v>
      </c>
      <c r="H97" s="23" t="str">
        <f>LEFT(IF(C97&gt;0,(VLOOKUP($C97,[6]Inscription!$A$12:$G$211,6,FALSE))," "),8)</f>
        <v xml:space="preserve">SENIOR </v>
      </c>
      <c r="I97" s="25" t="s">
        <v>50</v>
      </c>
    </row>
    <row r="98" spans="1:9" x14ac:dyDescent="0.25">
      <c r="A98" s="18" t="e">
        <f t="shared" si="9"/>
        <v>#DIV/0!</v>
      </c>
      <c r="B98" s="19">
        <v>22</v>
      </c>
      <c r="C98" s="20">
        <v>2</v>
      </c>
      <c r="D98" s="21" t="str">
        <f>IF(C98&gt;0,CONCATENATE((VLOOKUP($C98,[6]Inscription!$A$12:$G$211,3,FALSE)),"   ",(VLOOKUP($C98,[6]Inscription!$A$12:$G$211,4,FALSE)))," ")</f>
        <v xml:space="preserve">SAUSSEAU JACKY   </v>
      </c>
      <c r="E98" s="22"/>
      <c r="F98" s="23" t="str">
        <f>IF(C98&gt;0,(VLOOKUP($C98,[6]Inscription!$A$12:$G$211,5,FALSE))," ")</f>
        <v>AL GOND PONTOUVRE</v>
      </c>
      <c r="G98" s="24" t="str">
        <f>IF(C98&gt;0,(VLOOKUP($C98,[6]Inscription!$A$12:$G$211,7,FALSE))," ")</f>
        <v>50161640029</v>
      </c>
      <c r="H98" s="23" t="str">
        <f>LEFT(IF(C98&gt;0,(VLOOKUP($C98,[6]Inscription!$A$12:$G$211,6,FALSE))," "),8)</f>
        <v xml:space="preserve">SENIOR </v>
      </c>
      <c r="I98" s="25" t="s">
        <v>50</v>
      </c>
    </row>
    <row r="99" spans="1:9" x14ac:dyDescent="0.25">
      <c r="A99" s="18"/>
      <c r="B99" s="19"/>
      <c r="C99" s="20"/>
      <c r="D99" s="21"/>
      <c r="E99" s="22"/>
      <c r="F99" s="23"/>
      <c r="G99" s="24"/>
      <c r="H99" s="23"/>
      <c r="I99" s="25"/>
    </row>
    <row r="100" spans="1:9" x14ac:dyDescent="0.25">
      <c r="A100" s="18"/>
      <c r="B100" s="19"/>
      <c r="C100" s="20"/>
      <c r="D100" s="21"/>
      <c r="E100" s="22"/>
      <c r="F100" s="23"/>
      <c r="G100" s="24"/>
      <c r="H100" s="23"/>
      <c r="I100" s="25"/>
    </row>
  </sheetData>
  <mergeCells count="36">
    <mergeCell ref="A74:B74"/>
    <mergeCell ref="C74:F74"/>
    <mergeCell ref="G74:I74"/>
    <mergeCell ref="A75:B75"/>
    <mergeCell ref="C75:E75"/>
    <mergeCell ref="D76:E76"/>
    <mergeCell ref="A58:B58"/>
    <mergeCell ref="C58:F58"/>
    <mergeCell ref="G58:I58"/>
    <mergeCell ref="A59:B59"/>
    <mergeCell ref="C59:E59"/>
    <mergeCell ref="D60:E60"/>
    <mergeCell ref="A40:B40"/>
    <mergeCell ref="C40:F40"/>
    <mergeCell ref="G40:I40"/>
    <mergeCell ref="A41:B41"/>
    <mergeCell ref="C41:E41"/>
    <mergeCell ref="D42:E42"/>
    <mergeCell ref="A25:B25"/>
    <mergeCell ref="C25:F25"/>
    <mergeCell ref="G25:I25"/>
    <mergeCell ref="A26:B26"/>
    <mergeCell ref="C26:E26"/>
    <mergeCell ref="D27:E27"/>
    <mergeCell ref="A13:B13"/>
    <mergeCell ref="C13:F13"/>
    <mergeCell ref="G13:I13"/>
    <mergeCell ref="A14:B14"/>
    <mergeCell ref="C14:E14"/>
    <mergeCell ref="D15:E15"/>
    <mergeCell ref="A1:B1"/>
    <mergeCell ref="C1:F1"/>
    <mergeCell ref="G1:I1"/>
    <mergeCell ref="A2:B2"/>
    <mergeCell ref="C2:E2"/>
    <mergeCell ref="D3:E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dcterms:created xsi:type="dcterms:W3CDTF">2018-11-18T10:29:36Z</dcterms:created>
  <dcterms:modified xsi:type="dcterms:W3CDTF">2018-11-18T10:59:24Z</dcterms:modified>
</cp:coreProperties>
</file>